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ropbox\HAN_JGTP_actueel\1 ELT en ESE 1\5 EEF1 (en NETp)\practicum\week03\"/>
    </mc:Choice>
  </mc:AlternateContent>
  <bookViews>
    <workbookView xWindow="1050" yWindow="0" windowWidth="19995" windowHeight="12435" tabRatio="717" activeTab="3"/>
  </bookViews>
  <sheets>
    <sheet name="M1.1 (R1 en R2)" sheetId="2" r:id="rId1"/>
    <sheet name="M1.2 (R x I)" sheetId="1" r:id="rId2"/>
    <sheet name="M2.1 R(U,I) met U over A en R" sheetId="3" r:id="rId3"/>
    <sheet name="M2.2 R(U,I) met I voor V en R" sheetId="4" r:id="rId4"/>
    <sheet name="Metra HIT 29S" sheetId="5" r:id="rId5"/>
  </sheets>
  <definedNames>
    <definedName name="_xlnm.Print_Area" localSheetId="0">'M1.1 (R1 en R2)'!$B$1:$Q$53</definedName>
    <definedName name="_xlnm.Print_Area" localSheetId="1">'M1.2 (R x I)'!$A$1:$Q$57</definedName>
    <definedName name="_xlnm.Print_Area" localSheetId="2">'M2.1 R(U,I) met U over A en R'!$A$1:$Q$52</definedName>
    <definedName name="_xlnm.Print_Area" localSheetId="3">'M2.2 R(U,I) met I voor V en R'!$A$1:$Q$52</definedName>
    <definedName name="_xlnm.Print_Area" localSheetId="4">'Metra HIT 29S'!$A$1:$N$64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4" l="1"/>
  <c r="E23" i="4"/>
  <c r="E10" i="4"/>
  <c r="E10" i="3"/>
  <c r="E23" i="3"/>
  <c r="E36" i="3"/>
  <c r="C46" i="3"/>
  <c r="C46" i="4"/>
  <c r="E46" i="2"/>
  <c r="C53" i="1"/>
  <c r="E53" i="1" s="1"/>
  <c r="E54" i="1"/>
  <c r="E47" i="1"/>
  <c r="E46" i="1"/>
  <c r="C46" i="1"/>
  <c r="E36" i="1"/>
  <c r="E23" i="1"/>
  <c r="E10" i="1"/>
  <c r="E10" i="2"/>
  <c r="E23" i="2"/>
  <c r="E36" i="2"/>
  <c r="P39" i="1"/>
  <c r="P37" i="1"/>
  <c r="Q33" i="1"/>
  <c r="Q34" i="1" s="1"/>
  <c r="P33" i="1"/>
  <c r="Q20" i="1"/>
  <c r="P20" i="1"/>
  <c r="P26" i="1" s="1"/>
  <c r="P13" i="1"/>
  <c r="P11" i="1"/>
  <c r="Q7" i="1"/>
  <c r="P7" i="1"/>
  <c r="Q8" i="1" s="1"/>
  <c r="Q33" i="2"/>
  <c r="P33" i="2"/>
  <c r="P39" i="2" s="1"/>
  <c r="Q21" i="2"/>
  <c r="Q20" i="2"/>
  <c r="P20" i="2"/>
  <c r="P26" i="2" s="1"/>
  <c r="Q7" i="2"/>
  <c r="P7" i="2"/>
  <c r="P13" i="2" s="1"/>
  <c r="P39" i="3"/>
  <c r="P37" i="3"/>
  <c r="Q33" i="3"/>
  <c r="P33" i="3"/>
  <c r="Q34" i="3" s="1"/>
  <c r="Q20" i="3"/>
  <c r="P20" i="3"/>
  <c r="P26" i="3" s="1"/>
  <c r="Q7" i="3"/>
  <c r="P7" i="3"/>
  <c r="P13" i="3" s="1"/>
  <c r="P13" i="4"/>
  <c r="P11" i="4"/>
  <c r="Q7" i="4"/>
  <c r="Q8" i="4" s="1"/>
  <c r="P7" i="4"/>
  <c r="P39" i="4"/>
  <c r="P37" i="4"/>
  <c r="Q33" i="4"/>
  <c r="Q34" i="4" s="1"/>
  <c r="P33" i="4"/>
  <c r="Q21" i="4"/>
  <c r="Q20" i="4"/>
  <c r="P20" i="4"/>
  <c r="P26" i="4" s="1"/>
  <c r="Q21" i="1" l="1"/>
  <c r="P24" i="1"/>
  <c r="P24" i="2"/>
  <c r="Q8" i="2"/>
  <c r="P11" i="2"/>
  <c r="P37" i="2"/>
  <c r="Q34" i="2"/>
  <c r="Q21" i="3"/>
  <c r="P24" i="3"/>
  <c r="Q8" i="3"/>
  <c r="P11" i="3"/>
  <c r="P24" i="4"/>
  <c r="M1" i="5" l="1"/>
  <c r="L1" i="4" l="1"/>
  <c r="L1" i="3"/>
  <c r="L1" i="1"/>
  <c r="L1" i="2"/>
  <c r="I50" i="4" l="1"/>
  <c r="L47" i="4"/>
  <c r="D47" i="4"/>
  <c r="J47" i="4" s="1"/>
  <c r="C47" i="4"/>
  <c r="L46" i="4"/>
  <c r="J46" i="4"/>
  <c r="F46" i="4"/>
  <c r="J44" i="4"/>
  <c r="I42" i="4"/>
  <c r="F41" i="4"/>
  <c r="F40" i="4"/>
  <c r="E40" i="4"/>
  <c r="G39" i="4"/>
  <c r="F39" i="4"/>
  <c r="E39" i="4"/>
  <c r="L36" i="4"/>
  <c r="J36" i="4"/>
  <c r="F36" i="4"/>
  <c r="D36" i="4"/>
  <c r="H33" i="4"/>
  <c r="G33" i="4"/>
  <c r="E41" i="4" s="1"/>
  <c r="G41" i="4" s="1"/>
  <c r="J32" i="4"/>
  <c r="I29" i="4"/>
  <c r="F28" i="4"/>
  <c r="E28" i="4"/>
  <c r="F27" i="4"/>
  <c r="E27" i="4"/>
  <c r="F26" i="4"/>
  <c r="L23" i="4"/>
  <c r="D23" i="4"/>
  <c r="F23" i="4" s="1"/>
  <c r="H20" i="4"/>
  <c r="G20" i="4"/>
  <c r="J19" i="4"/>
  <c r="I16" i="4"/>
  <c r="F15" i="4"/>
  <c r="G14" i="4"/>
  <c r="F14" i="4"/>
  <c r="E14" i="4"/>
  <c r="F13" i="4"/>
  <c r="E13" i="4"/>
  <c r="G13" i="4" s="1"/>
  <c r="L10" i="4"/>
  <c r="J10" i="4"/>
  <c r="D10" i="4"/>
  <c r="F10" i="4" s="1"/>
  <c r="H7" i="4"/>
  <c r="G7" i="4"/>
  <c r="E15" i="4" s="1"/>
  <c r="G15" i="4" s="1"/>
  <c r="J6" i="4"/>
  <c r="B1" i="4"/>
  <c r="I50" i="3"/>
  <c r="D47" i="3"/>
  <c r="D49" i="3" s="1"/>
  <c r="C47" i="3"/>
  <c r="L46" i="3"/>
  <c r="J46" i="3"/>
  <c r="F46" i="3"/>
  <c r="J44" i="3"/>
  <c r="I16" i="3"/>
  <c r="F15" i="3"/>
  <c r="F14" i="3"/>
  <c r="E14" i="3"/>
  <c r="G14" i="3" s="1"/>
  <c r="F13" i="3"/>
  <c r="E13" i="3"/>
  <c r="G13" i="3" s="1"/>
  <c r="D10" i="3"/>
  <c r="L10" i="3" s="1"/>
  <c r="H7" i="3"/>
  <c r="G7" i="3"/>
  <c r="E15" i="3" s="1"/>
  <c r="G15" i="3" s="1"/>
  <c r="J6" i="3"/>
  <c r="I29" i="3"/>
  <c r="F28" i="3"/>
  <c r="F27" i="3"/>
  <c r="E27" i="3"/>
  <c r="F26" i="3"/>
  <c r="D23" i="3"/>
  <c r="J23" i="3" s="1"/>
  <c r="H20" i="3"/>
  <c r="G20" i="3"/>
  <c r="E28" i="3" s="1"/>
  <c r="J19" i="3"/>
  <c r="I42" i="3"/>
  <c r="F41" i="3"/>
  <c r="F40" i="3"/>
  <c r="E40" i="3"/>
  <c r="G40" i="3" s="1"/>
  <c r="F39" i="3"/>
  <c r="E39" i="3"/>
  <c r="G39" i="3" s="1"/>
  <c r="D36" i="3"/>
  <c r="L36" i="3" s="1"/>
  <c r="H33" i="3"/>
  <c r="G33" i="3"/>
  <c r="E41" i="3" s="1"/>
  <c r="G41" i="3" s="1"/>
  <c r="J32" i="3"/>
  <c r="B1" i="3"/>
  <c r="G27" i="4" l="1"/>
  <c r="E26" i="4"/>
  <c r="G28" i="4"/>
  <c r="F47" i="4"/>
  <c r="J23" i="4"/>
  <c r="G40" i="4"/>
  <c r="D49" i="4"/>
  <c r="E26" i="3"/>
  <c r="G27" i="3"/>
  <c r="G28" i="3"/>
  <c r="F36" i="3"/>
  <c r="J47" i="3"/>
  <c r="L23" i="3"/>
  <c r="L47" i="3"/>
  <c r="J36" i="3"/>
  <c r="F10" i="3"/>
  <c r="F47" i="3"/>
  <c r="F23" i="3"/>
  <c r="J10" i="3"/>
  <c r="J51" i="1"/>
  <c r="C54" i="1"/>
  <c r="I57" i="1"/>
  <c r="D54" i="1"/>
  <c r="J54" i="1" s="1"/>
  <c r="L53" i="1"/>
  <c r="J53" i="1"/>
  <c r="F53" i="1"/>
  <c r="C47" i="1"/>
  <c r="I16" i="1"/>
  <c r="F15" i="1"/>
  <c r="F14" i="1"/>
  <c r="E14" i="1"/>
  <c r="G14" i="1" s="1"/>
  <c r="F13" i="1"/>
  <c r="E13" i="1"/>
  <c r="G13" i="1" s="1"/>
  <c r="D10" i="1"/>
  <c r="J10" i="1" s="1"/>
  <c r="H7" i="1"/>
  <c r="G7" i="1"/>
  <c r="E15" i="1" s="1"/>
  <c r="G15" i="1" s="1"/>
  <c r="J6" i="1"/>
  <c r="D46" i="2"/>
  <c r="D47" i="2" s="1"/>
  <c r="C47" i="2"/>
  <c r="C46" i="2"/>
  <c r="I42" i="2"/>
  <c r="F41" i="2"/>
  <c r="F40" i="2"/>
  <c r="E40" i="2"/>
  <c r="G40" i="2" s="1"/>
  <c r="F39" i="2"/>
  <c r="E39" i="2"/>
  <c r="G39" i="2" s="1"/>
  <c r="D36" i="2"/>
  <c r="J36" i="2" s="1"/>
  <c r="H33" i="2"/>
  <c r="G33" i="2"/>
  <c r="E41" i="2" s="1"/>
  <c r="G41" i="2" s="1"/>
  <c r="J32" i="2"/>
  <c r="I16" i="2"/>
  <c r="F15" i="2"/>
  <c r="F14" i="2"/>
  <c r="E14" i="2"/>
  <c r="G14" i="2" s="1"/>
  <c r="F13" i="2"/>
  <c r="E13" i="2"/>
  <c r="G13" i="2" s="1"/>
  <c r="D10" i="2"/>
  <c r="J10" i="2" s="1"/>
  <c r="H7" i="2"/>
  <c r="G7" i="2"/>
  <c r="E15" i="2" s="1"/>
  <c r="J6" i="2"/>
  <c r="I50" i="2"/>
  <c r="J44" i="2"/>
  <c r="I29" i="2"/>
  <c r="F28" i="2"/>
  <c r="F27" i="2"/>
  <c r="E27" i="2"/>
  <c r="G27" i="2" s="1"/>
  <c r="F26" i="2"/>
  <c r="E26" i="2"/>
  <c r="G26" i="2" s="1"/>
  <c r="D23" i="2"/>
  <c r="L23" i="2" s="1"/>
  <c r="H20" i="2"/>
  <c r="G20" i="2"/>
  <c r="E28" i="2" s="1"/>
  <c r="G28" i="2" s="1"/>
  <c r="J19" i="2"/>
  <c r="B1" i="2"/>
  <c r="I50" i="1"/>
  <c r="I42" i="1"/>
  <c r="J44" i="1"/>
  <c r="J32" i="1"/>
  <c r="J19" i="1"/>
  <c r="I29" i="1"/>
  <c r="L36" i="2" l="1"/>
  <c r="D49" i="2"/>
  <c r="J47" i="2"/>
  <c r="J46" i="2"/>
  <c r="F46" i="2"/>
  <c r="L46" i="2"/>
  <c r="F36" i="2"/>
  <c r="F10" i="1"/>
  <c r="F54" i="1"/>
  <c r="L10" i="1"/>
  <c r="D56" i="1"/>
  <c r="L54" i="1"/>
  <c r="G26" i="3"/>
  <c r="K23" i="3"/>
  <c r="K36" i="4"/>
  <c r="I36" i="4"/>
  <c r="G36" i="4"/>
  <c r="G47" i="4" s="1"/>
  <c r="E47" i="4" s="1"/>
  <c r="I10" i="4"/>
  <c r="G10" i="4"/>
  <c r="K10" i="4"/>
  <c r="G26" i="4"/>
  <c r="K10" i="3"/>
  <c r="G10" i="3"/>
  <c r="I10" i="3"/>
  <c r="K36" i="3"/>
  <c r="I36" i="3"/>
  <c r="G36" i="3"/>
  <c r="L10" i="2"/>
  <c r="L47" i="2"/>
  <c r="E47" i="2"/>
  <c r="F10" i="2"/>
  <c r="F47" i="2"/>
  <c r="G15" i="2"/>
  <c r="J23" i="2"/>
  <c r="F23" i="2"/>
  <c r="D47" i="1"/>
  <c r="F41" i="1"/>
  <c r="F40" i="1"/>
  <c r="E40" i="1"/>
  <c r="F39" i="1"/>
  <c r="E39" i="1"/>
  <c r="D36" i="1"/>
  <c r="J36" i="1" s="1"/>
  <c r="H33" i="1"/>
  <c r="G33" i="1"/>
  <c r="E41" i="1" s="1"/>
  <c r="G41" i="1" s="1"/>
  <c r="F28" i="1"/>
  <c r="F27" i="1"/>
  <c r="E27" i="1"/>
  <c r="F26" i="1"/>
  <c r="E26" i="1"/>
  <c r="G26" i="1" s="1"/>
  <c r="D23" i="1"/>
  <c r="L23" i="1" s="1"/>
  <c r="H20" i="1"/>
  <c r="G20" i="1"/>
  <c r="E28" i="1" s="1"/>
  <c r="G28" i="1" s="1"/>
  <c r="I46" i="2" l="1"/>
  <c r="K46" i="2"/>
  <c r="G46" i="2"/>
  <c r="I47" i="2"/>
  <c r="K47" i="2"/>
  <c r="G27" i="1"/>
  <c r="G23" i="1"/>
  <c r="G23" i="3"/>
  <c r="G46" i="3" s="1"/>
  <c r="E46" i="3" s="1"/>
  <c r="I23" i="3"/>
  <c r="K23" i="4"/>
  <c r="I23" i="4"/>
  <c r="G23" i="4"/>
  <c r="G46" i="4" s="1"/>
  <c r="E46" i="4" s="1"/>
  <c r="K47" i="4"/>
  <c r="I47" i="4"/>
  <c r="G47" i="3"/>
  <c r="E47" i="3" s="1"/>
  <c r="G36" i="1"/>
  <c r="G47" i="1" s="1"/>
  <c r="G39" i="1"/>
  <c r="G40" i="1"/>
  <c r="G10" i="1"/>
  <c r="G54" i="1" s="1"/>
  <c r="I10" i="1"/>
  <c r="K10" i="1"/>
  <c r="I36" i="2"/>
  <c r="G36" i="2"/>
  <c r="G47" i="2" s="1"/>
  <c r="K36" i="2"/>
  <c r="I10" i="2"/>
  <c r="G10" i="2"/>
  <c r="K10" i="2"/>
  <c r="G23" i="2"/>
  <c r="K23" i="2"/>
  <c r="I23" i="2"/>
  <c r="L36" i="1"/>
  <c r="F36" i="1"/>
  <c r="J23" i="1"/>
  <c r="F23" i="1"/>
  <c r="L46" i="1"/>
  <c r="J46" i="1"/>
  <c r="F46" i="1"/>
  <c r="B1" i="1"/>
  <c r="I54" i="1" l="1"/>
  <c r="K54" i="1"/>
  <c r="G46" i="1"/>
  <c r="G53" i="1"/>
  <c r="K46" i="4"/>
  <c r="I46" i="4"/>
  <c r="K46" i="3"/>
  <c r="I46" i="3"/>
  <c r="I47" i="3"/>
  <c r="K47" i="3"/>
  <c r="K47" i="1"/>
  <c r="I47" i="1"/>
  <c r="I36" i="1"/>
  <c r="K36" i="1"/>
  <c r="I23" i="1"/>
  <c r="K23" i="1"/>
  <c r="L47" i="1"/>
  <c r="K53" i="1" l="1"/>
  <c r="I53" i="1"/>
  <c r="C49" i="4"/>
  <c r="C49" i="3"/>
  <c r="C49" i="2"/>
  <c r="F49" i="2" s="1"/>
  <c r="K46" i="1"/>
  <c r="F47" i="1"/>
  <c r="J47" i="1"/>
  <c r="D49" i="1"/>
  <c r="C56" i="1" l="1"/>
  <c r="F56" i="1" s="1"/>
  <c r="F49" i="4"/>
  <c r="E49" i="4"/>
  <c r="F49" i="3"/>
  <c r="E49" i="3"/>
  <c r="E49" i="2"/>
  <c r="I49" i="2" s="1"/>
  <c r="I46" i="1"/>
  <c r="C49" i="1" s="1"/>
  <c r="E56" i="1" l="1"/>
  <c r="I56" i="1" s="1"/>
  <c r="I49" i="4"/>
  <c r="I49" i="3"/>
  <c r="F49" i="1"/>
  <c r="E49" i="1"/>
  <c r="I49" i="1" l="1"/>
</calcChain>
</file>

<file path=xl/sharedStrings.xml><?xml version="1.0" encoding="utf-8"?>
<sst xmlns="http://schemas.openxmlformats.org/spreadsheetml/2006/main" count="697" uniqueCount="74">
  <si>
    <t>Meting van:</t>
  </si>
  <si>
    <t>Opmerkingen:</t>
  </si>
  <si>
    <t>Meetapparaat:</t>
  </si>
  <si>
    <t>DMM MetraHit 29S</t>
  </si>
  <si>
    <t xml:space="preserve">datum: </t>
  </si>
  <si>
    <t>Ω</t>
  </si>
  <si>
    <t>LSD=Least Significant Digit</t>
  </si>
  <si>
    <t xml:space="preserve">reading error: </t>
  </si>
  <si>
    <t>%</t>
  </si>
  <si>
    <t xml:space="preserve">range error: </t>
  </si>
  <si>
    <t>d</t>
  </si>
  <si>
    <t>Meetresultaat:</t>
  </si>
  <si>
    <t>waarde:</t>
  </si>
  <si>
    <t>absolute fout:</t>
  </si>
  <si>
    <t>relatieve fout:</t>
  </si>
  <si>
    <t>minimum:</t>
  </si>
  <si>
    <t>maximum:</t>
  </si>
  <si>
    <t>stroom I</t>
  </si>
  <si>
    <t xml:space="preserve">LSD error: </t>
  </si>
  <si>
    <t>V</t>
  </si>
  <si>
    <t>Resultaten:</t>
  </si>
  <si>
    <t>Conclusie:</t>
  </si>
  <si>
    <t xml:space="preserve">Conclusie: </t>
  </si>
  <si>
    <t>afgelezen:</t>
  </si>
  <si>
    <t xml:space="preserve">range: </t>
  </si>
  <si>
    <t>reading = afgelezen waarde</t>
  </si>
  <si>
    <t xml:space="preserve">LSD gewicht: </t>
  </si>
  <si>
    <t>relatieve fout is t.o.v. reading</t>
  </si>
  <si>
    <t>indien niet in datasheet: 0</t>
  </si>
  <si>
    <t>d = aantal LSD digits</t>
  </si>
  <si>
    <t xml:space="preserve">reading: </t>
  </si>
  <si>
    <t>spanning U (controle meting)</t>
  </si>
  <si>
    <t>Opbouw meetfout:</t>
  </si>
  <si>
    <t>NB: de totale absolute fout is naar boven afgerond op 1 LSD</t>
  </si>
  <si>
    <t>NB: de zalmkleurige velden zijn formules en worden door Excel berekend</t>
  </si>
  <si>
    <t>weerstand R1</t>
  </si>
  <si>
    <t>weerstand R2</t>
  </si>
  <si>
    <t>weerstand R1+R2 (controle meeting)</t>
  </si>
  <si>
    <t>Verificatie:</t>
  </si>
  <si>
    <t>R1 + R2 berekend</t>
  </si>
  <si>
    <t>R1 + R2 gemeten</t>
  </si>
  <si>
    <t>Is berekende R1 + R2 = gemeten R1 + R2 ?</t>
  </si>
  <si>
    <t>mA</t>
  </si>
  <si>
    <t>U direct gemeten</t>
  </si>
  <si>
    <t>Is berekende R x I = gemeten U ?</t>
  </si>
  <si>
    <t>U berekend als R x I</t>
  </si>
  <si>
    <t>Verificatie 1:</t>
  </si>
  <si>
    <t>Verificatie 2:</t>
  </si>
  <si>
    <t>Is berekende U / I = gemeten R ?</t>
  </si>
  <si>
    <t>R berekend als U/I</t>
  </si>
  <si>
    <t>R direct gemeten (=R1)</t>
  </si>
  <si>
    <t>Overlapping foutbanden:</t>
  </si>
  <si>
    <t>spanning U (over R in serie met A)</t>
  </si>
  <si>
    <t>stroom I (alleen door R)</t>
  </si>
  <si>
    <t>veronderstelde RV =</t>
  </si>
  <si>
    <t>spanning U (alleen over R)</t>
  </si>
  <si>
    <t>stroom I (door R parallel aan V)</t>
  </si>
  <si>
    <t>veronderstelde RA =</t>
  </si>
  <si>
    <t xml:space="preserve">simulatie van de inwendige voltmeterweerstand </t>
  </si>
  <si>
    <t>MΩ</t>
  </si>
  <si>
    <t>simulatie van de inwendige amperemeter weerstand</t>
  </si>
  <si>
    <t xml:space="preserve">aantal DMM digits (datasheet)= </t>
  </si>
  <si>
    <t xml:space="preserve">aantal cijfers achter de komma = </t>
  </si>
  <si>
    <t xml:space="preserve">geschatte DMM autorange = </t>
  </si>
  <si>
    <t>Getallen op DMM:</t>
  </si>
  <si>
    <t>Getallen in Excel:</t>
  </si>
  <si>
    <r>
      <t xml:space="preserve">   Absolute fouten (alle) </t>
    </r>
    <r>
      <rPr>
        <u/>
        <sz val="10"/>
        <color theme="1"/>
        <rFont val="Calibri"/>
        <family val="2"/>
        <scheme val="minor"/>
      </rPr>
      <t>weergeve</t>
    </r>
    <r>
      <rPr>
        <sz val="10"/>
        <color theme="1"/>
        <rFont val="Calibri"/>
        <family val="2"/>
        <scheme val="minor"/>
      </rPr>
      <t>n in Excel met:</t>
    </r>
  </si>
  <si>
    <r>
      <t xml:space="preserve">   Absolute fout (totale) </t>
    </r>
    <r>
      <rPr>
        <u/>
        <sz val="10"/>
        <color theme="1"/>
        <rFont val="Calibri"/>
        <family val="2"/>
        <scheme val="minor"/>
      </rPr>
      <t>naar boven afronden</t>
    </r>
    <r>
      <rPr>
        <sz val="10"/>
        <color theme="1"/>
        <rFont val="Calibri"/>
        <family val="2"/>
        <scheme val="minor"/>
      </rPr>
      <t xml:space="preserve"> met:</t>
    </r>
  </si>
  <si>
    <r>
      <t xml:space="preserve">   Relatieve fouten (alle) </t>
    </r>
    <r>
      <rPr>
        <u/>
        <sz val="10"/>
        <color theme="1"/>
        <rFont val="Calibri"/>
        <family val="2"/>
        <scheme val="minor"/>
      </rPr>
      <t>weergeven</t>
    </r>
    <r>
      <rPr>
        <sz val="10"/>
        <color theme="1"/>
        <rFont val="Calibri"/>
        <family val="2"/>
        <scheme val="minor"/>
      </rPr>
      <t xml:space="preserve"> in Excel met:</t>
    </r>
  </si>
  <si>
    <t>Getallen in Excel (hier verstandig kiezen):</t>
  </si>
  <si>
    <t>zoals ook al was gedaan bij de metingen</t>
  </si>
  <si>
    <t xml:space="preserve">  Berekende  waarden afronden</t>
  </si>
  <si>
    <t xml:space="preserve"> Doel: meet een weerstand R en daarna op de weerstand U en I en laat zien dat U=I x R en R = U/I kloppen</t>
  </si>
  <si>
    <t xml:space="preserve"> Doel: meet 2 weerstanden R1 en R2 apart en daarna in serie en laat zien dat R1+R2 = Rv klopt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</si>
</sst>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yyyy\ mmm\ dd\ \(hh:mm\)"/>
    <numFmt numFmtId="165" formatCode="0.00000"/>
    <numFmt numFmtId="166" formatCode="0.000"/>
    <numFmt numFmtId="167" formatCode="0.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65" fontId="0" fillId="2" borderId="1" xfId="0" applyNumberFormat="1" applyFill="1" applyBorder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2" fillId="0" borderId="8" xfId="0" applyFont="1" applyBorder="1"/>
    <xf numFmtId="0" fontId="0" fillId="0" borderId="14" xfId="0" applyFont="1" applyBorder="1"/>
    <xf numFmtId="0" fontId="0" fillId="0" borderId="14" xfId="0" applyBorder="1" applyAlignment="1">
      <alignment horizontal="right"/>
    </xf>
    <xf numFmtId="0" fontId="1" fillId="0" borderId="14" xfId="0" applyFont="1" applyBorder="1"/>
    <xf numFmtId="2" fontId="0" fillId="2" borderId="7" xfId="0" applyNumberFormat="1" applyFill="1" applyBorder="1"/>
    <xf numFmtId="0" fontId="0" fillId="2" borderId="7" xfId="0" applyFill="1" applyBorder="1" applyAlignment="1">
      <alignment horizontal="center"/>
    </xf>
    <xf numFmtId="165" fontId="0" fillId="2" borderId="7" xfId="0" applyNumberFormat="1" applyFill="1" applyBorder="1"/>
    <xf numFmtId="0" fontId="0" fillId="0" borderId="7" xfId="0" applyFill="1" applyBorder="1" applyAlignment="1">
      <alignment horizontal="center"/>
    </xf>
    <xf numFmtId="2" fontId="0" fillId="2" borderId="7" xfId="0" applyNumberFormat="1" applyFill="1" applyBorder="1" applyAlignment="1">
      <alignment horizontal="right"/>
    </xf>
    <xf numFmtId="0" fontId="0" fillId="2" borderId="19" xfId="0" applyFill="1" applyBorder="1" applyAlignment="1">
      <alignment horizontal="center"/>
    </xf>
    <xf numFmtId="49" fontId="0" fillId="0" borderId="0" xfId="0" applyNumberFormat="1"/>
    <xf numFmtId="0" fontId="0" fillId="0" borderId="1" xfId="0" applyNumberFormat="1" applyBorder="1" applyAlignment="1">
      <alignment horizontal="right"/>
    </xf>
    <xf numFmtId="2" fontId="0" fillId="3" borderId="7" xfId="0" quotePrefix="1" applyNumberFormat="1" applyFill="1" applyBorder="1" applyAlignment="1">
      <alignment horizontal="right"/>
    </xf>
    <xf numFmtId="0" fontId="0" fillId="0" borderId="14" xfId="0" applyFill="1" applyBorder="1"/>
    <xf numFmtId="0" fontId="0" fillId="2" borderId="15" xfId="0" applyFill="1" applyBorder="1" applyAlignment="1">
      <alignment horizontal="center"/>
    </xf>
    <xf numFmtId="0" fontId="0" fillId="0" borderId="18" xfId="0" applyFont="1" applyBorder="1" applyAlignment="1">
      <alignment vertical="top"/>
    </xf>
    <xf numFmtId="2" fontId="0" fillId="2" borderId="7" xfId="0" applyNumberFormat="1" applyFont="1" applyFill="1" applyBorder="1" applyAlignment="1">
      <alignment horizontal="center"/>
    </xf>
    <xf numFmtId="0" fontId="0" fillId="0" borderId="12" xfId="0" applyFont="1" applyBorder="1" applyAlignment="1">
      <alignment horizontal="left"/>
    </xf>
    <xf numFmtId="0" fontId="0" fillId="0" borderId="18" xfId="0" applyFill="1" applyBorder="1" applyAlignment="1">
      <alignment horizontal="right"/>
    </xf>
    <xf numFmtId="2" fontId="1" fillId="0" borderId="6" xfId="0" applyNumberFormat="1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165" fontId="1" fillId="0" borderId="6" xfId="0" applyNumberFormat="1" applyFont="1" applyFill="1" applyBorder="1" applyAlignment="1">
      <alignment horizontal="left"/>
    </xf>
    <xf numFmtId="0" fontId="0" fillId="0" borderId="0" xfId="0" applyFont="1"/>
    <xf numFmtId="0" fontId="0" fillId="0" borderId="14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165" fontId="0" fillId="2" borderId="1" xfId="0" applyNumberFormat="1" applyFont="1" applyFill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7" xfId="0" applyFont="1" applyBorder="1" applyAlignment="1">
      <alignment vertical="center"/>
    </xf>
    <xf numFmtId="0" fontId="0" fillId="0" borderId="7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vertical="center"/>
    </xf>
    <xf numFmtId="0" fontId="0" fillId="2" borderId="7" xfId="0" applyFont="1" applyFill="1" applyBorder="1" applyAlignment="1">
      <alignment horizontal="center" vertical="center"/>
    </xf>
    <xf numFmtId="165" fontId="0" fillId="2" borderId="7" xfId="0" applyNumberFormat="1" applyFont="1" applyFill="1" applyBorder="1" applyAlignment="1">
      <alignment vertical="center"/>
    </xf>
    <xf numFmtId="166" fontId="0" fillId="3" borderId="7" xfId="0" quotePrefix="1" applyNumberFormat="1" applyFill="1" applyBorder="1" applyAlignment="1">
      <alignment horizontal="right"/>
    </xf>
    <xf numFmtId="166" fontId="0" fillId="2" borderId="7" xfId="0" applyNumberFormat="1" applyFill="1" applyBorder="1"/>
    <xf numFmtId="166" fontId="0" fillId="2" borderId="7" xfId="0" applyNumberFormat="1" applyFill="1" applyBorder="1" applyAlignment="1">
      <alignment horizontal="right"/>
    </xf>
    <xf numFmtId="166" fontId="0" fillId="2" borderId="1" xfId="0" applyNumberFormat="1" applyFont="1" applyFill="1" applyBorder="1" applyAlignment="1">
      <alignment vertical="center"/>
    </xf>
    <xf numFmtId="2" fontId="0" fillId="2" borderId="1" xfId="0" applyNumberFormat="1" applyFont="1" applyFill="1" applyBorder="1" applyAlignment="1">
      <alignment vertical="center"/>
    </xf>
    <xf numFmtId="167" fontId="0" fillId="3" borderId="7" xfId="0" quotePrefix="1" applyNumberFormat="1" applyFill="1" applyBorder="1" applyAlignment="1">
      <alignment horizontal="right"/>
    </xf>
    <xf numFmtId="167" fontId="0" fillId="2" borderId="7" xfId="0" applyNumberFormat="1" applyFill="1" applyBorder="1"/>
    <xf numFmtId="167" fontId="0" fillId="2" borderId="7" xfId="0" applyNumberFormat="1" applyFill="1" applyBorder="1" applyAlignment="1">
      <alignment horizontal="right"/>
    </xf>
    <xf numFmtId="167" fontId="0" fillId="2" borderId="1" xfId="0" applyNumberFormat="1" applyFont="1" applyFill="1" applyBorder="1" applyAlignment="1">
      <alignment vertical="center"/>
    </xf>
    <xf numFmtId="0" fontId="5" fillId="3" borderId="8" xfId="0" applyFont="1" applyFill="1" applyBorder="1"/>
    <xf numFmtId="2" fontId="0" fillId="2" borderId="1" xfId="0" applyNumberFormat="1" applyFill="1" applyBorder="1"/>
    <xf numFmtId="167" fontId="0" fillId="2" borderId="1" xfId="0" applyNumberFormat="1" applyFill="1" applyBorder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0" xfId="0" applyAlignment="1">
      <alignment horizontal="right"/>
    </xf>
    <xf numFmtId="0" fontId="0" fillId="4" borderId="0" xfId="0" applyFill="1"/>
    <xf numFmtId="0" fontId="0" fillId="0" borderId="0" xfId="0" applyBorder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/>
    <xf numFmtId="167" fontId="0" fillId="2" borderId="7" xfId="0" applyNumberFormat="1" applyFont="1" applyFill="1" applyBorder="1" applyAlignment="1">
      <alignment vertical="center"/>
    </xf>
    <xf numFmtId="2" fontId="0" fillId="4" borderId="1" xfId="0" applyNumberFormat="1" applyFill="1" applyBorder="1"/>
    <xf numFmtId="0" fontId="0" fillId="4" borderId="0" xfId="0" applyNumberFormat="1" applyFill="1"/>
    <xf numFmtId="2" fontId="0" fillId="2" borderId="7" xfId="0" applyNumberFormat="1" applyFont="1" applyFill="1" applyBorder="1" applyAlignment="1">
      <alignment horizontal="right"/>
    </xf>
    <xf numFmtId="0" fontId="4" fillId="0" borderId="22" xfId="0" applyFont="1" applyBorder="1" applyAlignment="1">
      <alignment vertical="top"/>
    </xf>
    <xf numFmtId="0" fontId="4" fillId="0" borderId="22" xfId="0" applyFont="1" applyBorder="1" applyAlignment="1"/>
    <xf numFmtId="0" fontId="0" fillId="0" borderId="22" xfId="0" applyFont="1" applyBorder="1" applyAlignment="1">
      <alignment horizontal="right" vertical="top"/>
    </xf>
    <xf numFmtId="0" fontId="0" fillId="0" borderId="22" xfId="0" applyFont="1" applyBorder="1" applyAlignment="1">
      <alignment vertical="top"/>
    </xf>
    <xf numFmtId="0" fontId="5" fillId="3" borderId="10" xfId="0" applyFont="1" applyFill="1" applyBorder="1" applyAlignment="1">
      <alignment horizontal="left"/>
    </xf>
    <xf numFmtId="0" fontId="3" fillId="3" borderId="10" xfId="0" applyFont="1" applyFill="1" applyBorder="1" applyAlignment="1"/>
    <xf numFmtId="0" fontId="3" fillId="3" borderId="11" xfId="0" applyFont="1" applyFill="1" applyBorder="1" applyAlignment="1"/>
    <xf numFmtId="0" fontId="4" fillId="0" borderId="20" xfId="0" applyFont="1" applyFill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2" fontId="1" fillId="0" borderId="2" xfId="0" applyNumberFormat="1" applyFont="1" applyFill="1" applyBorder="1" applyAlignment="1"/>
    <xf numFmtId="0" fontId="1" fillId="0" borderId="3" xfId="0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/>
    <xf numFmtId="0" fontId="0" fillId="0" borderId="15" xfId="0" applyFont="1" applyBorder="1" applyAlignment="1"/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164" fontId="0" fillId="0" borderId="12" xfId="0" applyNumberFormat="1" applyFont="1" applyBorder="1" applyAlignment="1">
      <alignment horizontal="center"/>
    </xf>
    <xf numFmtId="164" fontId="0" fillId="0" borderId="13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22" fontId="1" fillId="0" borderId="2" xfId="0" applyNumberFormat="1" applyFont="1" applyBorder="1" applyAlignment="1">
      <alignment horizontal="left"/>
    </xf>
    <xf numFmtId="0" fontId="0" fillId="0" borderId="3" xfId="0" applyBorder="1" applyAlignment="1"/>
    <xf numFmtId="0" fontId="1" fillId="0" borderId="2" xfId="0" applyFont="1" applyBorder="1" applyAlignment="1"/>
    <xf numFmtId="0" fontId="0" fillId="0" borderId="17" xfId="0" applyBorder="1" applyAlignment="1"/>
    <xf numFmtId="0" fontId="0" fillId="0" borderId="2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164" fontId="0" fillId="0" borderId="1" xfId="0" applyNumberFormat="1" applyFont="1" applyBorder="1" applyAlignment="1">
      <alignment horizontal="center"/>
    </xf>
    <xf numFmtId="164" fontId="0" fillId="0" borderId="15" xfId="0" applyNumberFormat="1" applyFont="1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6" xfId="0" applyFill="1" applyBorder="1" applyAlignment="1"/>
    <xf numFmtId="0" fontId="0" fillId="0" borderId="4" xfId="0" applyBorder="1" applyAlignment="1"/>
    <xf numFmtId="0" fontId="0" fillId="0" borderId="5" xfId="0" applyBorder="1" applyAlignment="1"/>
    <xf numFmtId="0" fontId="2" fillId="3" borderId="9" xfId="0" applyFont="1" applyFill="1" applyBorder="1" applyAlignment="1">
      <alignment horizontal="left"/>
    </xf>
    <xf numFmtId="0" fontId="0" fillId="3" borderId="10" xfId="0" applyFill="1" applyBorder="1" applyAlignment="1"/>
    <xf numFmtId="0" fontId="0" fillId="3" borderId="11" xfId="0" applyFill="1" applyBorder="1" applyAlignment="1"/>
    <xf numFmtId="22" fontId="2" fillId="0" borderId="12" xfId="0" applyNumberFormat="1" applyFont="1" applyBorder="1" applyAlignment="1">
      <alignment horizontal="left"/>
    </xf>
    <xf numFmtId="0" fontId="2" fillId="0" borderId="12" xfId="0" applyFont="1" applyBorder="1" applyAlignment="1"/>
    <xf numFmtId="0" fontId="2" fillId="0" borderId="13" xfId="0" applyFont="1" applyBorder="1" applyAlignment="1"/>
    <xf numFmtId="22" fontId="1" fillId="0" borderId="1" xfId="0" applyNumberFormat="1" applyFont="1" applyBorder="1" applyAlignment="1">
      <alignment horizontal="left"/>
    </xf>
    <xf numFmtId="0" fontId="0" fillId="0" borderId="1" xfId="0" applyBorder="1" applyAlignment="1"/>
    <xf numFmtId="0" fontId="1" fillId="0" borderId="1" xfId="0" applyFont="1" applyBorder="1" applyAlignment="1"/>
    <xf numFmtId="0" fontId="0" fillId="0" borderId="15" xfId="0" applyBorder="1" applyAlignment="1"/>
    <xf numFmtId="0" fontId="0" fillId="0" borderId="2" xfId="0" applyFill="1" applyBorder="1" applyAlignment="1"/>
    <xf numFmtId="0" fontId="0" fillId="0" borderId="23" xfId="0" applyFill="1" applyBorder="1" applyAlignment="1">
      <alignment horizontal="right"/>
    </xf>
    <xf numFmtId="0" fontId="0" fillId="0" borderId="24" xfId="0" applyBorder="1" applyAlignment="1">
      <alignment horizontal="right"/>
    </xf>
    <xf numFmtId="0" fontId="0" fillId="3" borderId="23" xfId="0" applyFill="1" applyBorder="1" applyAlignment="1">
      <alignment horizontal="left"/>
    </xf>
    <xf numFmtId="0" fontId="0" fillId="3" borderId="25" xfId="0" applyFill="1" applyBorder="1" applyAlignment="1">
      <alignment horizontal="left"/>
    </xf>
    <xf numFmtId="0" fontId="0" fillId="3" borderId="26" xfId="0" applyFill="1" applyBorder="1" applyAlignment="1">
      <alignment horizontal="left"/>
    </xf>
    <xf numFmtId="0" fontId="1" fillId="0" borderId="0" xfId="0" applyFont="1" applyAlignment="1">
      <alignment horizontal="right"/>
    </xf>
    <xf numFmtId="167" fontId="0" fillId="2" borderId="6" xfId="0" applyNumberFormat="1" applyFill="1" applyBorder="1"/>
    <xf numFmtId="167" fontId="0" fillId="2" borderId="27" xfId="0" applyNumberFormat="1" applyFill="1" applyBorder="1"/>
    <xf numFmtId="0" fontId="0" fillId="0" borderId="0" xfId="0" applyBorder="1"/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49" fontId="6" fillId="0" borderId="0" xfId="0" applyNumberFormat="1" applyFont="1" applyBorder="1"/>
    <xf numFmtId="0" fontId="6" fillId="0" borderId="0" xfId="0" applyFont="1" applyBorder="1" applyAlignment="1">
      <alignment horizontal="left"/>
    </xf>
    <xf numFmtId="0" fontId="7" fillId="0" borderId="0" xfId="0" applyFont="1" applyBorder="1"/>
    <xf numFmtId="0" fontId="6" fillId="0" borderId="0" xfId="0" applyFont="1" applyBorder="1" applyAlignment="1">
      <alignment horizontal="right" vertical="top"/>
    </xf>
    <xf numFmtId="0" fontId="6" fillId="0" borderId="0" xfId="0" applyFont="1" applyBorder="1" applyAlignment="1">
      <alignment horizontal="left" vertical="top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41413</xdr:colOff>
      <xdr:row>1</xdr:row>
      <xdr:rowOff>66261</xdr:rowOff>
    </xdr:from>
    <xdr:to>
      <xdr:col>13</xdr:col>
      <xdr:colOff>165237</xdr:colOff>
      <xdr:row>63</xdr:row>
      <xdr:rowOff>88183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13" y="256761"/>
          <a:ext cx="8091694" cy="11832922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52"/>
  <sheetViews>
    <sheetView zoomScale="115" zoomScaleNormal="115" workbookViewId="0">
      <selection activeCell="D4" sqref="D4"/>
    </sheetView>
  </sheetViews>
  <sheetFormatPr defaultRowHeight="15" x14ac:dyDescent="0.25"/>
  <cols>
    <col min="1" max="1" width="1" customWidth="1"/>
    <col min="2" max="2" width="24.42578125" customWidth="1"/>
    <col min="3" max="3" width="10.7109375" customWidth="1"/>
    <col min="4" max="4" width="4" style="1" bestFit="1" customWidth="1"/>
    <col min="5" max="5" width="10.7109375" customWidth="1"/>
    <col min="6" max="6" width="4" style="1" bestFit="1" customWidth="1"/>
    <col min="7" max="7" width="10.7109375" style="1" customWidth="1"/>
    <col min="8" max="8" width="5.7109375" style="1" customWidth="1"/>
    <col min="9" max="9" width="10.7109375" customWidth="1"/>
    <col min="10" max="10" width="4" style="1" bestFit="1" customWidth="1"/>
    <col min="11" max="11" width="10.7109375" customWidth="1"/>
    <col min="12" max="12" width="3.7109375" style="1" customWidth="1"/>
    <col min="13" max="13" width="1.28515625" customWidth="1"/>
    <col min="14" max="14" width="3" customWidth="1"/>
    <col min="15" max="15" width="27.140625" customWidth="1"/>
    <col min="16" max="16" width="6.5703125" customWidth="1"/>
    <col min="17" max="17" width="3.42578125" customWidth="1"/>
    <col min="18" max="18" width="9.7109375" customWidth="1"/>
  </cols>
  <sheetData>
    <row r="1" spans="2:18" x14ac:dyDescent="0.25">
      <c r="B1" s="62" t="str">
        <f ca="1">CONCATENATE(" bestandsnaam = ", MID(CELL("bestandsnaam",$C$19),SEARCH("[",CELL("bestandsnaam",$C$19),1)+1,SEARCH("]",CELL("bestandsnaam",$C$19),1)-2-SEARCH("[",CELL("bestandsnaam",$C$19),1)))</f>
        <v xml:space="preserve"> bestandsnaam = PB1_week3_meetnauwkeurigheid_v20150924_0900.xls</v>
      </c>
      <c r="L1" s="124" t="str">
        <f ca="1">MID(   CELL("bestandsnaam",$C$19),SEARCH("]",CELL("bestandsnaam",$C$19),1)+1,    99  )</f>
        <v>M1.1 (R1 en R2)</v>
      </c>
    </row>
    <row r="2" spans="2:18" x14ac:dyDescent="0.25">
      <c r="B2" s="62"/>
      <c r="L2" s="124"/>
      <c r="Q2" s="58"/>
    </row>
    <row r="3" spans="2:18" ht="15.75" x14ac:dyDescent="0.25">
      <c r="B3" s="135" t="s">
        <v>73</v>
      </c>
      <c r="L3" s="124"/>
    </row>
    <row r="4" spans="2:18" ht="15.75" thickBot="1" x14ac:dyDescent="0.3">
      <c r="P4" s="58"/>
    </row>
    <row r="5" spans="2:18" ht="18.75" x14ac:dyDescent="0.3">
      <c r="B5" s="8" t="s">
        <v>0</v>
      </c>
      <c r="C5" s="108" t="s">
        <v>35</v>
      </c>
      <c r="D5" s="109"/>
      <c r="E5" s="109"/>
      <c r="F5" s="109"/>
      <c r="G5" s="109"/>
      <c r="H5" s="110"/>
      <c r="I5" s="111" t="s">
        <v>1</v>
      </c>
      <c r="J5" s="112"/>
      <c r="K5" s="112"/>
      <c r="L5" s="113"/>
      <c r="N5" s="132" t="s">
        <v>64</v>
      </c>
      <c r="O5" s="129"/>
      <c r="P5" s="129"/>
      <c r="Q5" s="129"/>
    </row>
    <row r="6" spans="2:18" x14ac:dyDescent="0.25">
      <c r="B6" s="9" t="s">
        <v>2</v>
      </c>
      <c r="C6" s="98" t="s">
        <v>3</v>
      </c>
      <c r="D6" s="99"/>
      <c r="E6" s="99"/>
      <c r="F6" s="99"/>
      <c r="G6" s="100"/>
      <c r="H6" s="93"/>
      <c r="I6" s="7" t="s">
        <v>4</v>
      </c>
      <c r="J6" s="101">
        <f ca="1">NOW()</f>
        <v>42271.45158483796</v>
      </c>
      <c r="K6" s="101"/>
      <c r="L6" s="102"/>
      <c r="N6" s="129"/>
      <c r="O6" s="128" t="s">
        <v>61</v>
      </c>
      <c r="P6" s="129">
        <v>5.75</v>
      </c>
      <c r="Q6" s="129"/>
      <c r="R6" s="127"/>
    </row>
    <row r="7" spans="2:18" x14ac:dyDescent="0.25">
      <c r="B7" s="10" t="s">
        <v>24</v>
      </c>
      <c r="C7" s="19">
        <v>3000</v>
      </c>
      <c r="D7" s="2" t="s">
        <v>5</v>
      </c>
      <c r="E7" s="103" t="s">
        <v>26</v>
      </c>
      <c r="F7" s="104"/>
      <c r="G7" s="19">
        <f>POWER(10,TRUNC(LOG(C7,10))-5)</f>
        <v>0.01</v>
      </c>
      <c r="H7" s="3" t="str">
        <f>D7</f>
        <v>Ω</v>
      </c>
      <c r="I7" s="79" t="s">
        <v>6</v>
      </c>
      <c r="J7" s="80"/>
      <c r="K7" s="80"/>
      <c r="L7" s="81"/>
      <c r="N7" s="129"/>
      <c r="O7" s="128" t="s">
        <v>63</v>
      </c>
      <c r="P7" s="129">
        <f>IF(C10&lt;IF((P6-TRUNC(P6))=0.75,3,IF((P6-TRUNC(P6))=0.5,2,10))*POWER(10,TRUNC(LOG(C7,10))),IF((P6-TRUNC(P6))=0.75,3,IF((P6-TRUNC(P6))=0.5,2,10))*POWER(10,TRUNC(LOG(C7,10))),IF((P6-TRUNC(P6))=0.75,3,IF((P6-TRUNC(P6))=0.5,2,10))*POWER(10,TRUNC(LOG(C7,10)))*10)</f>
        <v>3000</v>
      </c>
      <c r="Q7" s="129" t="str">
        <f>D7</f>
        <v>Ω</v>
      </c>
      <c r="R7" s="127"/>
    </row>
    <row r="8" spans="2:18" x14ac:dyDescent="0.25">
      <c r="B8" s="105"/>
      <c r="C8" s="106"/>
      <c r="D8" s="106"/>
      <c r="E8" s="106"/>
      <c r="F8" s="106"/>
      <c r="G8" s="107"/>
      <c r="H8" s="107"/>
      <c r="I8" s="106"/>
      <c r="J8" s="106"/>
      <c r="K8" s="106"/>
      <c r="L8" s="97"/>
      <c r="Q8" s="61" t="str">
        <f>IF(AND(P7=30,Q7="mA"),"NB: ipv 30mA is ook 20mA mogelijk","")</f>
        <v/>
      </c>
      <c r="R8" s="127"/>
    </row>
    <row r="9" spans="2:18" x14ac:dyDescent="0.25">
      <c r="B9" s="11" t="s">
        <v>11</v>
      </c>
      <c r="C9" s="90" t="s">
        <v>23</v>
      </c>
      <c r="D9" s="91"/>
      <c r="E9" s="92" t="s">
        <v>13</v>
      </c>
      <c r="F9" s="93"/>
      <c r="G9" s="92" t="s">
        <v>14</v>
      </c>
      <c r="H9" s="93"/>
      <c r="I9" s="94" t="s">
        <v>15</v>
      </c>
      <c r="J9" s="95"/>
      <c r="K9" s="96" t="s">
        <v>16</v>
      </c>
      <c r="L9" s="97"/>
      <c r="N9" s="132" t="s">
        <v>65</v>
      </c>
      <c r="O9" s="129"/>
      <c r="P9" s="129"/>
      <c r="Q9" s="129"/>
      <c r="R9" s="127"/>
    </row>
    <row r="10" spans="2:18" ht="15.75" thickBot="1" x14ac:dyDescent="0.3">
      <c r="B10" s="26" t="s">
        <v>30</v>
      </c>
      <c r="C10" s="20">
        <v>978.7</v>
      </c>
      <c r="D10" s="13" t="str">
        <f>D7</f>
        <v>Ω</v>
      </c>
      <c r="E10" s="12">
        <f>ROUNDUP(SUM(E13:E15),P11)</f>
        <v>0.84</v>
      </c>
      <c r="F10" s="13" t="str">
        <f>D10</f>
        <v>Ω</v>
      </c>
      <c r="G10" s="14">
        <f>IF(ISNUMBER(C10),100*E10/C10,"-")</f>
        <v>8.5828139368550119E-2</v>
      </c>
      <c r="H10" s="15" t="s">
        <v>8</v>
      </c>
      <c r="I10" s="16">
        <f>C10-E10</f>
        <v>977.86</v>
      </c>
      <c r="J10" s="13" t="str">
        <f>D10</f>
        <v>Ω</v>
      </c>
      <c r="K10" s="16">
        <f>C10+E10</f>
        <v>979.54000000000008</v>
      </c>
      <c r="L10" s="17" t="str">
        <f>D10</f>
        <v>Ω</v>
      </c>
      <c r="N10" s="131" t="s">
        <v>67</v>
      </c>
      <c r="O10" s="130"/>
      <c r="P10" s="129"/>
      <c r="Q10" s="129"/>
      <c r="R10" s="127"/>
    </row>
    <row r="11" spans="2:18" ht="24.95" customHeight="1" x14ac:dyDescent="0.25">
      <c r="B11" s="74" t="s">
        <v>33</v>
      </c>
      <c r="C11" s="75"/>
      <c r="D11" s="75"/>
      <c r="E11" s="75"/>
      <c r="F11" s="75"/>
      <c r="G11" s="75"/>
      <c r="H11" s="75"/>
      <c r="I11" s="75"/>
      <c r="J11" s="75"/>
      <c r="K11" s="75"/>
      <c r="L11" s="76"/>
      <c r="N11" s="129"/>
      <c r="O11" s="133" t="s">
        <v>62</v>
      </c>
      <c r="P11" s="133">
        <f>TRUNC(P6)-TRUNC(LOG10(P7))</f>
        <v>2</v>
      </c>
      <c r="Q11" s="127"/>
      <c r="R11" s="127"/>
    </row>
    <row r="12" spans="2:18" x14ac:dyDescent="0.25">
      <c r="B12" s="11" t="s">
        <v>32</v>
      </c>
      <c r="C12" s="77" t="s">
        <v>12</v>
      </c>
      <c r="D12" s="78"/>
      <c r="E12" s="27" t="s">
        <v>13</v>
      </c>
      <c r="F12" s="28"/>
      <c r="G12" s="29" t="s">
        <v>14</v>
      </c>
      <c r="H12" s="28"/>
      <c r="I12" s="79" t="s">
        <v>27</v>
      </c>
      <c r="J12" s="80"/>
      <c r="K12" s="80"/>
      <c r="L12" s="81"/>
      <c r="N12" s="131" t="s">
        <v>66</v>
      </c>
      <c r="O12" s="130"/>
      <c r="P12" s="129"/>
    </row>
    <row r="13" spans="2:18" x14ac:dyDescent="0.25">
      <c r="B13" s="31" t="s">
        <v>7</v>
      </c>
      <c r="C13" s="32">
        <v>0.05</v>
      </c>
      <c r="D13" s="33" t="s">
        <v>8</v>
      </c>
      <c r="E13" s="47">
        <f>C10*C13/100</f>
        <v>0.48935000000000001</v>
      </c>
      <c r="F13" s="35" t="str">
        <f>D7</f>
        <v>Ω</v>
      </c>
      <c r="G13" s="36">
        <f>IF(ISNUMBER(C13),100*E13/C10,"-")</f>
        <v>0.05</v>
      </c>
      <c r="H13" s="33" t="s">
        <v>8</v>
      </c>
      <c r="I13" s="82" t="s">
        <v>25</v>
      </c>
      <c r="J13" s="83"/>
      <c r="K13" s="83"/>
      <c r="L13" s="84"/>
      <c r="N13" s="129"/>
      <c r="O13" s="128" t="s">
        <v>62</v>
      </c>
      <c r="P13" s="128">
        <f>TRUNC(P6)-TRUNC(LOG10(P7))</f>
        <v>2</v>
      </c>
    </row>
    <row r="14" spans="2:18" x14ac:dyDescent="0.25">
      <c r="B14" s="31" t="s">
        <v>9</v>
      </c>
      <c r="C14" s="32">
        <v>0.01</v>
      </c>
      <c r="D14" s="33" t="s">
        <v>8</v>
      </c>
      <c r="E14" s="47">
        <f>C7*C14/100</f>
        <v>0.3</v>
      </c>
      <c r="F14" s="35" t="str">
        <f>D7</f>
        <v>Ω</v>
      </c>
      <c r="G14" s="36">
        <f>IF(ISNUMBER(C14),100*E14/C10,"-")</f>
        <v>3.0652906917339327E-2</v>
      </c>
      <c r="H14" s="33" t="s">
        <v>8</v>
      </c>
      <c r="I14" s="82" t="s">
        <v>28</v>
      </c>
      <c r="J14" s="83"/>
      <c r="K14" s="83"/>
      <c r="L14" s="84"/>
      <c r="N14" s="131" t="s">
        <v>68</v>
      </c>
      <c r="O14" s="130"/>
      <c r="P14" s="129"/>
      <c r="Q14" s="129"/>
    </row>
    <row r="15" spans="2:18" ht="15.75" thickBot="1" x14ac:dyDescent="0.3">
      <c r="B15" s="37" t="s">
        <v>18</v>
      </c>
      <c r="C15" s="38">
        <v>5</v>
      </c>
      <c r="D15" s="39" t="s">
        <v>10</v>
      </c>
      <c r="E15" s="47">
        <f>G7*C15</f>
        <v>0.05</v>
      </c>
      <c r="F15" s="41" t="str">
        <f>D7</f>
        <v>Ω</v>
      </c>
      <c r="G15" s="42">
        <f>IF(ISNUMBER(C15),100*E15/C10,"-")</f>
        <v>5.1088178195565544E-3</v>
      </c>
      <c r="H15" s="39" t="s">
        <v>8</v>
      </c>
      <c r="I15" s="85" t="s">
        <v>29</v>
      </c>
      <c r="J15" s="86"/>
      <c r="K15" s="86"/>
      <c r="L15" s="87"/>
      <c r="N15" s="129"/>
      <c r="O15" s="128" t="s">
        <v>62</v>
      </c>
      <c r="P15" s="128">
        <v>5</v>
      </c>
      <c r="Q15" s="127"/>
    </row>
    <row r="16" spans="2:18" s="30" customFormat="1" ht="24.95" customHeight="1" x14ac:dyDescent="0.25">
      <c r="B16" s="67" t="s">
        <v>34</v>
      </c>
      <c r="C16" s="68"/>
      <c r="D16" s="68"/>
      <c r="E16" s="68"/>
      <c r="F16" s="68"/>
      <c r="G16" s="68"/>
      <c r="H16" s="68"/>
      <c r="I16" s="69" t="str">
        <f ca="1">CONCATENATE(" versie: ",   MID(   CELL("bestandsnaam",$C$19),SEARCH("v20",CELL("bestandsnaam",$C$19),1)+1,    13   )   )</f>
        <v xml:space="preserve"> versie: 20150924_0900</v>
      </c>
      <c r="J16" s="70"/>
      <c r="K16" s="70"/>
      <c r="L16" s="70"/>
      <c r="N16"/>
      <c r="O16"/>
      <c r="P16"/>
      <c r="Q16"/>
      <c r="R16"/>
    </row>
    <row r="17" spans="2:18" ht="15.75" thickBot="1" x14ac:dyDescent="0.3"/>
    <row r="18" spans="2:18" ht="18.75" x14ac:dyDescent="0.3">
      <c r="B18" s="8" t="s">
        <v>0</v>
      </c>
      <c r="C18" s="108" t="s">
        <v>36</v>
      </c>
      <c r="D18" s="109"/>
      <c r="E18" s="109"/>
      <c r="F18" s="109"/>
      <c r="G18" s="109"/>
      <c r="H18" s="110"/>
      <c r="I18" s="111" t="s">
        <v>1</v>
      </c>
      <c r="J18" s="112"/>
      <c r="K18" s="112"/>
      <c r="L18" s="113"/>
      <c r="N18" s="132" t="s">
        <v>64</v>
      </c>
      <c r="O18" s="129"/>
      <c r="P18" s="129"/>
      <c r="Q18" s="129"/>
    </row>
    <row r="19" spans="2:18" x14ac:dyDescent="0.25">
      <c r="B19" s="9" t="s">
        <v>2</v>
      </c>
      <c r="C19" s="98" t="s">
        <v>3</v>
      </c>
      <c r="D19" s="99"/>
      <c r="E19" s="99"/>
      <c r="F19" s="99"/>
      <c r="G19" s="100"/>
      <c r="H19" s="93"/>
      <c r="I19" s="7" t="s">
        <v>4</v>
      </c>
      <c r="J19" s="101">
        <f ca="1">NOW()</f>
        <v>42271.45158483796</v>
      </c>
      <c r="K19" s="101"/>
      <c r="L19" s="102"/>
      <c r="N19" s="129"/>
      <c r="O19" s="128" t="s">
        <v>61</v>
      </c>
      <c r="P19" s="129">
        <v>5.75</v>
      </c>
      <c r="Q19" s="129"/>
    </row>
    <row r="20" spans="2:18" x14ac:dyDescent="0.25">
      <c r="B20" s="10" t="s">
        <v>24</v>
      </c>
      <c r="C20" s="19">
        <v>300</v>
      </c>
      <c r="D20" s="2" t="s">
        <v>5</v>
      </c>
      <c r="E20" s="103" t="s">
        <v>26</v>
      </c>
      <c r="F20" s="104"/>
      <c r="G20" s="19">
        <f>POWER(10,TRUNC(LOG(C20,10))-5)</f>
        <v>1E-3</v>
      </c>
      <c r="H20" s="3" t="str">
        <f>D20</f>
        <v>Ω</v>
      </c>
      <c r="I20" s="79" t="s">
        <v>6</v>
      </c>
      <c r="J20" s="80"/>
      <c r="K20" s="80"/>
      <c r="L20" s="81"/>
      <c r="N20" s="129"/>
      <c r="O20" s="128" t="s">
        <v>63</v>
      </c>
      <c r="P20" s="129">
        <f>IF(C23&lt;IF((P19-TRUNC(P19))=0.75,3,IF((P19-TRUNC(P19))=0.5,2,10))*POWER(10,TRUNC(LOG(C20,10))),IF((P19-TRUNC(P19))=0.75,3,IF((P19-TRUNC(P19))=0.5,2,10))*POWER(10,TRUNC(LOG(C20,10))),IF((P19-TRUNC(P19))=0.75,3,IF((P19-TRUNC(P19))=0.5,2,10))*POWER(10,TRUNC(LOG(C20,10)))*10)</f>
        <v>300</v>
      </c>
      <c r="Q20" s="129" t="str">
        <f>D20</f>
        <v>Ω</v>
      </c>
    </row>
    <row r="21" spans="2:18" x14ac:dyDescent="0.25">
      <c r="B21" s="105"/>
      <c r="C21" s="106"/>
      <c r="D21" s="106"/>
      <c r="E21" s="106"/>
      <c r="F21" s="106"/>
      <c r="G21" s="107"/>
      <c r="H21" s="107"/>
      <c r="I21" s="106"/>
      <c r="J21" s="106"/>
      <c r="K21" s="106"/>
      <c r="L21" s="97"/>
      <c r="Q21" s="61" t="str">
        <f>IF(AND(P20=30,Q20="mA"),"NB: ipv 30mA is ook 20mA mogelijk","")</f>
        <v/>
      </c>
    </row>
    <row r="22" spans="2:18" x14ac:dyDescent="0.25">
      <c r="B22" s="11" t="s">
        <v>11</v>
      </c>
      <c r="C22" s="90" t="s">
        <v>23</v>
      </c>
      <c r="D22" s="91"/>
      <c r="E22" s="92" t="s">
        <v>13</v>
      </c>
      <c r="F22" s="93"/>
      <c r="G22" s="92" t="s">
        <v>14</v>
      </c>
      <c r="H22" s="93"/>
      <c r="I22" s="94" t="s">
        <v>15</v>
      </c>
      <c r="J22" s="95"/>
      <c r="K22" s="96" t="s">
        <v>16</v>
      </c>
      <c r="L22" s="97"/>
      <c r="N22" s="132" t="s">
        <v>65</v>
      </c>
      <c r="O22" s="129"/>
      <c r="P22" s="129"/>
      <c r="Q22" s="129"/>
    </row>
    <row r="23" spans="2:18" ht="15.75" thickBot="1" x14ac:dyDescent="0.3">
      <c r="B23" s="26" t="s">
        <v>30</v>
      </c>
      <c r="C23" s="43">
        <v>99.215000000000003</v>
      </c>
      <c r="D23" s="13" t="str">
        <f>D20</f>
        <v>Ω</v>
      </c>
      <c r="E23" s="44">
        <f>ROUNDUP(SUM(E26:E28),P24)</f>
        <v>8.5000000000000006E-2</v>
      </c>
      <c r="F23" s="13" t="str">
        <f>D23</f>
        <v>Ω</v>
      </c>
      <c r="G23" s="14">
        <f>IF(ISNUMBER(C23),100*E23/C23,"-")</f>
        <v>8.5672529355440202E-2</v>
      </c>
      <c r="H23" s="15" t="s">
        <v>8</v>
      </c>
      <c r="I23" s="45">
        <f>C23-E23</f>
        <v>99.13000000000001</v>
      </c>
      <c r="J23" s="13" t="str">
        <f>D23</f>
        <v>Ω</v>
      </c>
      <c r="K23" s="45">
        <f>C23+E23</f>
        <v>99.3</v>
      </c>
      <c r="L23" s="17" t="str">
        <f>D23</f>
        <v>Ω</v>
      </c>
      <c r="N23" s="131" t="s">
        <v>67</v>
      </c>
      <c r="O23" s="130"/>
      <c r="P23" s="129"/>
      <c r="Q23" s="129"/>
    </row>
    <row r="24" spans="2:18" ht="24.95" customHeight="1" x14ac:dyDescent="0.25">
      <c r="B24" s="74" t="s">
        <v>33</v>
      </c>
      <c r="C24" s="75"/>
      <c r="D24" s="75"/>
      <c r="E24" s="75"/>
      <c r="F24" s="75"/>
      <c r="G24" s="75"/>
      <c r="H24" s="75"/>
      <c r="I24" s="75"/>
      <c r="J24" s="75"/>
      <c r="K24" s="75"/>
      <c r="L24" s="76"/>
      <c r="N24" s="129"/>
      <c r="O24" s="133" t="s">
        <v>62</v>
      </c>
      <c r="P24" s="133">
        <f>TRUNC(P19)-TRUNC(LOG10(P20))</f>
        <v>3</v>
      </c>
      <c r="Q24" s="127"/>
    </row>
    <row r="25" spans="2:18" x14ac:dyDescent="0.25">
      <c r="B25" s="11" t="s">
        <v>32</v>
      </c>
      <c r="C25" s="77" t="s">
        <v>12</v>
      </c>
      <c r="D25" s="78"/>
      <c r="E25" s="27" t="s">
        <v>13</v>
      </c>
      <c r="F25" s="28"/>
      <c r="G25" s="29" t="s">
        <v>14</v>
      </c>
      <c r="H25" s="28"/>
      <c r="I25" s="79" t="s">
        <v>27</v>
      </c>
      <c r="J25" s="80"/>
      <c r="K25" s="80"/>
      <c r="L25" s="81"/>
      <c r="N25" s="131" t="s">
        <v>66</v>
      </c>
      <c r="O25" s="130"/>
      <c r="P25" s="129"/>
    </row>
    <row r="26" spans="2:18" x14ac:dyDescent="0.25">
      <c r="B26" s="31" t="s">
        <v>7</v>
      </c>
      <c r="C26" s="32">
        <v>0.05</v>
      </c>
      <c r="D26" s="33" t="s">
        <v>8</v>
      </c>
      <c r="E26" s="46">
        <f>C23*C26/100</f>
        <v>4.9607500000000006E-2</v>
      </c>
      <c r="F26" s="35" t="str">
        <f>D20</f>
        <v>Ω</v>
      </c>
      <c r="G26" s="36">
        <f>IF(ISNUMBER(C26),100*E26/C23,"-")</f>
        <v>5.000000000000001E-2</v>
      </c>
      <c r="H26" s="33" t="s">
        <v>8</v>
      </c>
      <c r="I26" s="82" t="s">
        <v>25</v>
      </c>
      <c r="J26" s="83"/>
      <c r="K26" s="83"/>
      <c r="L26" s="84"/>
      <c r="N26" s="129"/>
      <c r="O26" s="128" t="s">
        <v>62</v>
      </c>
      <c r="P26" s="128">
        <f>TRUNC(P19)-TRUNC(LOG10(P20))</f>
        <v>3</v>
      </c>
    </row>
    <row r="27" spans="2:18" x14ac:dyDescent="0.25">
      <c r="B27" s="31" t="s">
        <v>9</v>
      </c>
      <c r="C27" s="32">
        <v>0.01</v>
      </c>
      <c r="D27" s="33" t="s">
        <v>8</v>
      </c>
      <c r="E27" s="46">
        <f>C20*C27/100</f>
        <v>0.03</v>
      </c>
      <c r="F27" s="35" t="str">
        <f>D20</f>
        <v>Ω</v>
      </c>
      <c r="G27" s="36">
        <f>IF(ISNUMBER(C27),100*E27/C23,"-")</f>
        <v>3.0237363301920072E-2</v>
      </c>
      <c r="H27" s="33" t="s">
        <v>8</v>
      </c>
      <c r="I27" s="82" t="s">
        <v>28</v>
      </c>
      <c r="J27" s="83"/>
      <c r="K27" s="83"/>
      <c r="L27" s="84"/>
      <c r="N27" s="131" t="s">
        <v>68</v>
      </c>
      <c r="O27" s="130"/>
      <c r="P27" s="129"/>
      <c r="Q27" s="129"/>
    </row>
    <row r="28" spans="2:18" ht="15.75" thickBot="1" x14ac:dyDescent="0.3">
      <c r="B28" s="37" t="s">
        <v>18</v>
      </c>
      <c r="C28" s="38">
        <v>5</v>
      </c>
      <c r="D28" s="39" t="s">
        <v>10</v>
      </c>
      <c r="E28" s="46">
        <f>G20*C28</f>
        <v>5.0000000000000001E-3</v>
      </c>
      <c r="F28" s="41" t="str">
        <f>D20</f>
        <v>Ω</v>
      </c>
      <c r="G28" s="42">
        <f>IF(ISNUMBER(C28),100*E28/C23,"-")</f>
        <v>5.039560550320012E-3</v>
      </c>
      <c r="H28" s="39" t="s">
        <v>8</v>
      </c>
      <c r="I28" s="85" t="s">
        <v>29</v>
      </c>
      <c r="J28" s="86"/>
      <c r="K28" s="86"/>
      <c r="L28" s="87"/>
      <c r="N28" s="129"/>
      <c r="O28" s="128" t="s">
        <v>62</v>
      </c>
      <c r="P28" s="128">
        <v>5</v>
      </c>
      <c r="Q28" s="127"/>
    </row>
    <row r="29" spans="2:18" s="30" customFormat="1" ht="24.95" customHeight="1" x14ac:dyDescent="0.25">
      <c r="B29" s="67" t="s">
        <v>34</v>
      </c>
      <c r="C29" s="68"/>
      <c r="D29" s="68"/>
      <c r="E29" s="68"/>
      <c r="F29" s="68"/>
      <c r="G29" s="68"/>
      <c r="H29" s="68"/>
      <c r="I29" s="69" t="str">
        <f ca="1">CONCATENATE(" versie: ",   MID(   CELL("bestandsnaam",$C$19),SEARCH("v20",CELL("bestandsnaam",$C$19),1)+1,    13   )   )</f>
        <v xml:space="preserve"> versie: 20150924_0900</v>
      </c>
      <c r="J29" s="70"/>
      <c r="K29" s="70"/>
      <c r="L29" s="70"/>
      <c r="N29"/>
      <c r="O29"/>
      <c r="P29"/>
      <c r="Q29"/>
      <c r="R29"/>
    </row>
    <row r="30" spans="2:18" ht="15.75" thickBot="1" x14ac:dyDescent="0.3"/>
    <row r="31" spans="2:18" ht="18.75" x14ac:dyDescent="0.3">
      <c r="B31" s="8" t="s">
        <v>0</v>
      </c>
      <c r="C31" s="108" t="s">
        <v>37</v>
      </c>
      <c r="D31" s="109"/>
      <c r="E31" s="109"/>
      <c r="F31" s="109"/>
      <c r="G31" s="109"/>
      <c r="H31" s="110"/>
      <c r="I31" s="111" t="s">
        <v>1</v>
      </c>
      <c r="J31" s="112"/>
      <c r="K31" s="112"/>
      <c r="L31" s="113"/>
      <c r="N31" s="132" t="s">
        <v>64</v>
      </c>
      <c r="O31" s="129"/>
      <c r="P31" s="129"/>
      <c r="Q31" s="129"/>
    </row>
    <row r="32" spans="2:18" x14ac:dyDescent="0.25">
      <c r="B32" s="9" t="s">
        <v>2</v>
      </c>
      <c r="C32" s="98" t="s">
        <v>3</v>
      </c>
      <c r="D32" s="99"/>
      <c r="E32" s="99"/>
      <c r="F32" s="99"/>
      <c r="G32" s="100"/>
      <c r="H32" s="93"/>
      <c r="I32" s="7" t="s">
        <v>4</v>
      </c>
      <c r="J32" s="101">
        <f ca="1">NOW()</f>
        <v>42271.45158483796</v>
      </c>
      <c r="K32" s="101"/>
      <c r="L32" s="102"/>
      <c r="N32" s="129"/>
      <c r="O32" s="128" t="s">
        <v>61</v>
      </c>
      <c r="P32" s="129">
        <v>5.75</v>
      </c>
      <c r="Q32" s="129"/>
    </row>
    <row r="33" spans="2:17" x14ac:dyDescent="0.25">
      <c r="B33" s="10" t="s">
        <v>24</v>
      </c>
      <c r="C33" s="19">
        <v>3000</v>
      </c>
      <c r="D33" s="2" t="s">
        <v>5</v>
      </c>
      <c r="E33" s="103" t="s">
        <v>26</v>
      </c>
      <c r="F33" s="104"/>
      <c r="G33" s="19">
        <f>POWER(10,TRUNC(LOG(C33,10))-5)</f>
        <v>0.01</v>
      </c>
      <c r="H33" s="3" t="str">
        <f>D33</f>
        <v>Ω</v>
      </c>
      <c r="I33" s="79" t="s">
        <v>6</v>
      </c>
      <c r="J33" s="80"/>
      <c r="K33" s="80"/>
      <c r="L33" s="81"/>
      <c r="N33" s="129"/>
      <c r="O33" s="128" t="s">
        <v>63</v>
      </c>
      <c r="P33" s="129">
        <f>IF(C36&lt;IF((P32-TRUNC(P32))=0.75,3,IF((P32-TRUNC(P32))=0.5,2,10))*POWER(10,TRUNC(LOG(C33,10))),IF((P32-TRUNC(P32))=0.75,3,IF((P32-TRUNC(P32))=0.5,2,10))*POWER(10,TRUNC(LOG(C33,10))),IF((P32-TRUNC(P32))=0.75,3,IF((P32-TRUNC(P32))=0.5,2,10))*POWER(10,TRUNC(LOG(C33,10)))*10)</f>
        <v>3000</v>
      </c>
      <c r="Q33" s="129" t="str">
        <f>D33</f>
        <v>Ω</v>
      </c>
    </row>
    <row r="34" spans="2:17" x14ac:dyDescent="0.25">
      <c r="B34" s="105"/>
      <c r="C34" s="106"/>
      <c r="D34" s="106"/>
      <c r="E34" s="106"/>
      <c r="F34" s="106"/>
      <c r="G34" s="107"/>
      <c r="H34" s="107"/>
      <c r="I34" s="106"/>
      <c r="J34" s="106"/>
      <c r="K34" s="106"/>
      <c r="L34" s="97"/>
      <c r="Q34" s="61" t="str">
        <f>IF(AND(P33=30,Q33="mA"),"NB: ipv 30mA is ook 20mA mogelijk","")</f>
        <v/>
      </c>
    </row>
    <row r="35" spans="2:17" x14ac:dyDescent="0.25">
      <c r="B35" s="11" t="s">
        <v>11</v>
      </c>
      <c r="C35" s="90" t="s">
        <v>23</v>
      </c>
      <c r="D35" s="91"/>
      <c r="E35" s="92" t="s">
        <v>13</v>
      </c>
      <c r="F35" s="93"/>
      <c r="G35" s="92" t="s">
        <v>14</v>
      </c>
      <c r="H35" s="93"/>
      <c r="I35" s="94" t="s">
        <v>15</v>
      </c>
      <c r="J35" s="95"/>
      <c r="K35" s="96" t="s">
        <v>16</v>
      </c>
      <c r="L35" s="97"/>
      <c r="N35" s="132" t="s">
        <v>65</v>
      </c>
      <c r="O35" s="129"/>
      <c r="P35" s="129"/>
      <c r="Q35" s="129"/>
    </row>
    <row r="36" spans="2:17" ht="15.75" thickBot="1" x14ac:dyDescent="0.3">
      <c r="B36" s="26" t="s">
        <v>30</v>
      </c>
      <c r="C36" s="20">
        <v>1077.97</v>
      </c>
      <c r="D36" s="13" t="str">
        <f>D33</f>
        <v>Ω</v>
      </c>
      <c r="E36" s="12">
        <f>ROUNDUP(SUM(E39:E41),P37)</f>
        <v>0.89</v>
      </c>
      <c r="F36" s="13" t="str">
        <f>D36</f>
        <v>Ω</v>
      </c>
      <c r="G36" s="14">
        <f>IF(ISNUMBER(C36),100*E36/C36,"-")</f>
        <v>8.2562594506340625E-2</v>
      </c>
      <c r="H36" s="15" t="s">
        <v>8</v>
      </c>
      <c r="I36" s="16">
        <f>C36-E36</f>
        <v>1077.08</v>
      </c>
      <c r="J36" s="13" t="str">
        <f>D36</f>
        <v>Ω</v>
      </c>
      <c r="K36" s="16">
        <f>C36+E36</f>
        <v>1078.8600000000001</v>
      </c>
      <c r="L36" s="17" t="str">
        <f>D36</f>
        <v>Ω</v>
      </c>
      <c r="N36" s="131" t="s">
        <v>67</v>
      </c>
      <c r="O36" s="130"/>
      <c r="P36" s="129"/>
      <c r="Q36" s="129"/>
    </row>
    <row r="37" spans="2:17" ht="24.95" customHeight="1" x14ac:dyDescent="0.25">
      <c r="B37" s="74" t="s">
        <v>33</v>
      </c>
      <c r="C37" s="75"/>
      <c r="D37" s="75"/>
      <c r="E37" s="75"/>
      <c r="F37" s="75"/>
      <c r="G37" s="75"/>
      <c r="H37" s="75"/>
      <c r="I37" s="75"/>
      <c r="J37" s="75"/>
      <c r="K37" s="75"/>
      <c r="L37" s="76"/>
      <c r="N37" s="129"/>
      <c r="O37" s="133" t="s">
        <v>62</v>
      </c>
      <c r="P37" s="133">
        <f>TRUNC(P32)-TRUNC(LOG10(P33))</f>
        <v>2</v>
      </c>
      <c r="Q37" s="127"/>
    </row>
    <row r="38" spans="2:17" x14ac:dyDescent="0.25">
      <c r="B38" s="11" t="s">
        <v>32</v>
      </c>
      <c r="C38" s="77" t="s">
        <v>12</v>
      </c>
      <c r="D38" s="78"/>
      <c r="E38" s="27" t="s">
        <v>13</v>
      </c>
      <c r="F38" s="28"/>
      <c r="G38" s="29" t="s">
        <v>14</v>
      </c>
      <c r="H38" s="28"/>
      <c r="I38" s="79" t="s">
        <v>27</v>
      </c>
      <c r="J38" s="80"/>
      <c r="K38" s="80"/>
      <c r="L38" s="81"/>
      <c r="N38" s="131" t="s">
        <v>66</v>
      </c>
      <c r="O38" s="130"/>
      <c r="P38" s="129"/>
    </row>
    <row r="39" spans="2:17" x14ac:dyDescent="0.25">
      <c r="B39" s="31" t="s">
        <v>7</v>
      </c>
      <c r="C39" s="32">
        <v>0.05</v>
      </c>
      <c r="D39" s="33" t="s">
        <v>8</v>
      </c>
      <c r="E39" s="47">
        <f>C36*C39/100</f>
        <v>0.53898500000000005</v>
      </c>
      <c r="F39" s="35" t="str">
        <f>D33</f>
        <v>Ω</v>
      </c>
      <c r="G39" s="36">
        <f>IF(ISNUMBER(C39),100*E39/C36,"-")</f>
        <v>0.05</v>
      </c>
      <c r="H39" s="33" t="s">
        <v>8</v>
      </c>
      <c r="I39" s="82" t="s">
        <v>25</v>
      </c>
      <c r="J39" s="83"/>
      <c r="K39" s="83"/>
      <c r="L39" s="84"/>
      <c r="N39" s="129"/>
      <c r="O39" s="128" t="s">
        <v>62</v>
      </c>
      <c r="P39" s="128">
        <f>TRUNC(P32)-TRUNC(LOG10(P33))</f>
        <v>2</v>
      </c>
    </row>
    <row r="40" spans="2:17" x14ac:dyDescent="0.25">
      <c r="B40" s="31" t="s">
        <v>9</v>
      </c>
      <c r="C40" s="32">
        <v>0.01</v>
      </c>
      <c r="D40" s="33" t="s">
        <v>8</v>
      </c>
      <c r="E40" s="47">
        <f>C33*C40/100</f>
        <v>0.3</v>
      </c>
      <c r="F40" s="35" t="str">
        <f>D33</f>
        <v>Ω</v>
      </c>
      <c r="G40" s="36">
        <f>IF(ISNUMBER(C40),100*E40/C36,"-")</f>
        <v>2.7830088035845153E-2</v>
      </c>
      <c r="H40" s="33" t="s">
        <v>8</v>
      </c>
      <c r="I40" s="82" t="s">
        <v>28</v>
      </c>
      <c r="J40" s="83"/>
      <c r="K40" s="83"/>
      <c r="L40" s="84"/>
      <c r="N40" s="131" t="s">
        <v>68</v>
      </c>
      <c r="O40" s="130"/>
      <c r="P40" s="129"/>
      <c r="Q40" s="129"/>
    </row>
    <row r="41" spans="2:17" ht="15.75" thickBot="1" x14ac:dyDescent="0.3">
      <c r="B41" s="37" t="s">
        <v>18</v>
      </c>
      <c r="C41" s="38">
        <v>5</v>
      </c>
      <c r="D41" s="39" t="s">
        <v>10</v>
      </c>
      <c r="E41" s="47">
        <f>G33*C41</f>
        <v>0.05</v>
      </c>
      <c r="F41" s="41" t="str">
        <f>D33</f>
        <v>Ω</v>
      </c>
      <c r="G41" s="42">
        <f>IF(ISNUMBER(C41),100*E41/C36,"-")</f>
        <v>4.6383480059741921E-3</v>
      </c>
      <c r="H41" s="39" t="s">
        <v>8</v>
      </c>
      <c r="I41" s="85" t="s">
        <v>29</v>
      </c>
      <c r="J41" s="86"/>
      <c r="K41" s="86"/>
      <c r="L41" s="87"/>
      <c r="N41" s="129"/>
      <c r="O41" s="128" t="s">
        <v>62</v>
      </c>
      <c r="P41" s="128">
        <v>5</v>
      </c>
      <c r="Q41" s="127"/>
    </row>
    <row r="42" spans="2:17" s="30" customFormat="1" ht="24.95" customHeight="1" x14ac:dyDescent="0.25">
      <c r="B42" s="67" t="s">
        <v>34</v>
      </c>
      <c r="C42" s="68"/>
      <c r="D42" s="68"/>
      <c r="E42" s="68"/>
      <c r="F42" s="68"/>
      <c r="G42" s="68"/>
      <c r="H42" s="68"/>
      <c r="I42" s="69" t="str">
        <f ca="1">CONCATENATE(" versie: ",   MID(   CELL("bestandsnaam",$C$19),SEARCH("v20",CELL("bestandsnaam",$C$19),1)+1,    13   )   )</f>
        <v xml:space="preserve"> versie: 20150924_0900</v>
      </c>
      <c r="J42" s="70"/>
      <c r="K42" s="70"/>
      <c r="L42" s="70"/>
    </row>
    <row r="43" spans="2:17" ht="15.75" thickBot="1" x14ac:dyDescent="0.3"/>
    <row r="44" spans="2:17" ht="15.75" x14ac:dyDescent="0.25">
      <c r="B44" s="52" t="s">
        <v>38</v>
      </c>
      <c r="C44" s="71" t="s">
        <v>41</v>
      </c>
      <c r="D44" s="72"/>
      <c r="E44" s="72"/>
      <c r="F44" s="72"/>
      <c r="G44" s="72"/>
      <c r="H44" s="73"/>
      <c r="I44" s="25" t="s">
        <v>4</v>
      </c>
      <c r="J44" s="88">
        <f ca="1">NOW()</f>
        <v>42271.45158483796</v>
      </c>
      <c r="K44" s="88"/>
      <c r="L44" s="89"/>
      <c r="N44" s="132" t="s">
        <v>69</v>
      </c>
      <c r="O44" s="129"/>
      <c r="P44" s="129"/>
      <c r="Q44" s="129"/>
    </row>
    <row r="45" spans="2:17" x14ac:dyDescent="0.25">
      <c r="B45" s="11" t="s">
        <v>20</v>
      </c>
      <c r="C45" s="90" t="s">
        <v>12</v>
      </c>
      <c r="D45" s="91"/>
      <c r="E45" s="90" t="s">
        <v>13</v>
      </c>
      <c r="F45" s="91"/>
      <c r="G45" s="90" t="s">
        <v>14</v>
      </c>
      <c r="H45" s="91"/>
      <c r="I45" s="114" t="s">
        <v>15</v>
      </c>
      <c r="J45" s="115"/>
      <c r="K45" s="116" t="s">
        <v>16</v>
      </c>
      <c r="L45" s="117"/>
      <c r="N45" s="131" t="s">
        <v>67</v>
      </c>
      <c r="O45" s="130"/>
      <c r="P45" s="129"/>
      <c r="Q45" s="129"/>
    </row>
    <row r="46" spans="2:17" ht="15.75" thickBot="1" x14ac:dyDescent="0.3">
      <c r="B46" s="21" t="s">
        <v>39</v>
      </c>
      <c r="C46" s="47">
        <f>C10+C23</f>
        <v>1077.915</v>
      </c>
      <c r="D46" s="4" t="str">
        <f>D7</f>
        <v>Ω</v>
      </c>
      <c r="E46" s="47">
        <f>ROUNDUP(E10+E23,P11)</f>
        <v>0.93</v>
      </c>
      <c r="F46" s="3" t="str">
        <f>D46</f>
        <v>Ω</v>
      </c>
      <c r="G46" s="5">
        <f>E46/C46*100</f>
        <v>8.6277674955817479E-2</v>
      </c>
      <c r="H46" s="4" t="s">
        <v>8</v>
      </c>
      <c r="I46" s="16">
        <f>C46-E46</f>
        <v>1076.9849999999999</v>
      </c>
      <c r="J46" s="13" t="str">
        <f>D46</f>
        <v>Ω</v>
      </c>
      <c r="K46" s="16">
        <f>C46+E46</f>
        <v>1078.845</v>
      </c>
      <c r="L46" s="22" t="str">
        <f>D46</f>
        <v>Ω</v>
      </c>
      <c r="N46" s="129"/>
      <c r="O46" s="133" t="s">
        <v>62</v>
      </c>
      <c r="P46" s="133">
        <v>4</v>
      </c>
      <c r="Q46" s="127"/>
    </row>
    <row r="47" spans="2:17" ht="15.75" thickBot="1" x14ac:dyDescent="0.3">
      <c r="B47" s="21" t="s">
        <v>40</v>
      </c>
      <c r="C47" s="47">
        <f>C36</f>
        <v>1077.97</v>
      </c>
      <c r="D47" s="3" t="str">
        <f>D46</f>
        <v>Ω</v>
      </c>
      <c r="E47" s="47">
        <f>E36</f>
        <v>0.89</v>
      </c>
      <c r="F47" s="3" t="str">
        <f>D47</f>
        <v>Ω</v>
      </c>
      <c r="G47" s="5">
        <f>G36</f>
        <v>8.2562594506340625E-2</v>
      </c>
      <c r="H47" s="4" t="s">
        <v>8</v>
      </c>
      <c r="I47" s="16">
        <f>C47-E47</f>
        <v>1077.08</v>
      </c>
      <c r="J47" s="13" t="str">
        <f>D47</f>
        <v>Ω</v>
      </c>
      <c r="K47" s="16">
        <f>C47+E47</f>
        <v>1078.8600000000001</v>
      </c>
      <c r="L47" s="22" t="str">
        <f>D47</f>
        <v>Ω</v>
      </c>
      <c r="N47" s="131" t="s">
        <v>66</v>
      </c>
      <c r="O47" s="130"/>
      <c r="P47" s="129"/>
    </row>
    <row r="48" spans="2:17" x14ac:dyDescent="0.25">
      <c r="B48" s="11" t="s">
        <v>21</v>
      </c>
      <c r="C48" s="118"/>
      <c r="D48" s="106"/>
      <c r="E48" s="106"/>
      <c r="F48" s="106"/>
      <c r="G48" s="106"/>
      <c r="H48" s="106"/>
      <c r="I48" s="106"/>
      <c r="J48" s="106"/>
      <c r="K48" s="106"/>
      <c r="L48" s="97"/>
      <c r="N48" s="129"/>
      <c r="O48" s="128" t="s">
        <v>62</v>
      </c>
      <c r="P48" s="128">
        <v>4</v>
      </c>
    </row>
    <row r="49" spans="2:17" ht="15.75" thickBot="1" x14ac:dyDescent="0.3">
      <c r="B49" s="23" t="s">
        <v>51</v>
      </c>
      <c r="C49" s="47">
        <f>MIN(K46:K47)-MAX(I46:I47)</f>
        <v>1.7650000000001</v>
      </c>
      <c r="D49" s="13" t="str">
        <f>D47</f>
        <v>Ω</v>
      </c>
      <c r="E49" s="66">
        <f>IF(C49&gt;0,100*C49/(2*MIN(E46,E47))," no overlap! ")</f>
        <v>99.157303370792135</v>
      </c>
      <c r="F49" s="13" t="str">
        <f>IF(C49&gt;0,"%","")</f>
        <v>%</v>
      </c>
      <c r="G49" s="119" t="s">
        <v>22</v>
      </c>
      <c r="H49" s="120"/>
      <c r="I49" s="121" t="str">
        <f>IF(F49="%", IF(E49&gt;=50,"geldige meting !","matige meting"),"meting over doen?")</f>
        <v>geldige meting !</v>
      </c>
      <c r="J49" s="122"/>
      <c r="K49" s="122"/>
      <c r="L49" s="123"/>
      <c r="N49" s="131" t="s">
        <v>68</v>
      </c>
      <c r="O49" s="130"/>
      <c r="P49" s="129"/>
      <c r="Q49" s="129"/>
    </row>
    <row r="50" spans="2:17" ht="30" customHeight="1" x14ac:dyDescent="0.25">
      <c r="B50" s="67" t="s">
        <v>34</v>
      </c>
      <c r="C50" s="68"/>
      <c r="D50" s="68"/>
      <c r="E50" s="68"/>
      <c r="F50" s="68"/>
      <c r="G50" s="68"/>
      <c r="H50" s="68"/>
      <c r="I50" s="69" t="str">
        <f ca="1">CONCATENATE(" versie: ",   MID(   CELL("bestandsnaam",$C$19),SEARCH("v20",CELL("bestandsnaam",$C$19),1)+1,    13   )   )</f>
        <v xml:space="preserve"> versie: 20150924_0900</v>
      </c>
      <c r="J50" s="70"/>
      <c r="K50" s="70"/>
      <c r="L50" s="70"/>
      <c r="N50" s="129"/>
      <c r="O50" s="133" t="s">
        <v>62</v>
      </c>
      <c r="P50" s="133">
        <v>5</v>
      </c>
      <c r="Q50" s="127"/>
    </row>
    <row r="51" spans="2:17" x14ac:dyDescent="0.25">
      <c r="N51" s="62" t="s">
        <v>71</v>
      </c>
    </row>
    <row r="52" spans="2:17" x14ac:dyDescent="0.25">
      <c r="N52" s="129"/>
      <c r="O52" s="134" t="s">
        <v>70</v>
      </c>
      <c r="P52" s="133"/>
    </row>
  </sheetData>
  <mergeCells count="72">
    <mergeCell ref="I18:L18"/>
    <mergeCell ref="C19:H19"/>
    <mergeCell ref="J19:L19"/>
    <mergeCell ref="B50:H50"/>
    <mergeCell ref="I50:L50"/>
    <mergeCell ref="C45:D45"/>
    <mergeCell ref="E45:F45"/>
    <mergeCell ref="G45:H45"/>
    <mergeCell ref="I45:J45"/>
    <mergeCell ref="K45:L45"/>
    <mergeCell ref="C48:L48"/>
    <mergeCell ref="G49:H49"/>
    <mergeCell ref="I49:L49"/>
    <mergeCell ref="B24:L24"/>
    <mergeCell ref="C25:D25"/>
    <mergeCell ref="I25:L25"/>
    <mergeCell ref="C5:H5"/>
    <mergeCell ref="I5:L5"/>
    <mergeCell ref="C6:H6"/>
    <mergeCell ref="J6:L6"/>
    <mergeCell ref="E7:F7"/>
    <mergeCell ref="I7:L7"/>
    <mergeCell ref="B8:L8"/>
    <mergeCell ref="C9:D9"/>
    <mergeCell ref="E9:F9"/>
    <mergeCell ref="E20:F20"/>
    <mergeCell ref="I20:L20"/>
    <mergeCell ref="I13:L13"/>
    <mergeCell ref="C18:H18"/>
    <mergeCell ref="G9:H9"/>
    <mergeCell ref="I9:J9"/>
    <mergeCell ref="K9:L9"/>
    <mergeCell ref="B11:L11"/>
    <mergeCell ref="C12:D12"/>
    <mergeCell ref="I12:L12"/>
    <mergeCell ref="I14:L14"/>
    <mergeCell ref="I15:L15"/>
    <mergeCell ref="B16:H16"/>
    <mergeCell ref="I27:L27"/>
    <mergeCell ref="I28:L28"/>
    <mergeCell ref="B21:L21"/>
    <mergeCell ref="C22:D22"/>
    <mergeCell ref="E22:F22"/>
    <mergeCell ref="G22:H22"/>
    <mergeCell ref="I22:J22"/>
    <mergeCell ref="K22:L22"/>
    <mergeCell ref="I16:L16"/>
    <mergeCell ref="C35:D35"/>
    <mergeCell ref="E35:F35"/>
    <mergeCell ref="G35:H35"/>
    <mergeCell ref="I35:J35"/>
    <mergeCell ref="K35:L35"/>
    <mergeCell ref="C32:H32"/>
    <mergeCell ref="J32:L32"/>
    <mergeCell ref="E33:F33"/>
    <mergeCell ref="I33:L33"/>
    <mergeCell ref="B34:L34"/>
    <mergeCell ref="C31:H31"/>
    <mergeCell ref="I31:L31"/>
    <mergeCell ref="B29:H29"/>
    <mergeCell ref="I29:L29"/>
    <mergeCell ref="I26:L26"/>
    <mergeCell ref="B42:H42"/>
    <mergeCell ref="I42:L42"/>
    <mergeCell ref="C44:H44"/>
    <mergeCell ref="B37:L37"/>
    <mergeCell ref="C38:D38"/>
    <mergeCell ref="I38:L38"/>
    <mergeCell ref="I39:L39"/>
    <mergeCell ref="I40:L40"/>
    <mergeCell ref="I41:L41"/>
    <mergeCell ref="J44:L44"/>
  </mergeCells>
  <pageMargins left="0.70866141732283472" right="0.19685039370078741" top="0.74803149606299213" bottom="0.43307086614173229" header="0.31496062992125984" footer="0.31496062992125984"/>
  <pageSetup paperSize="9" scale="68" orientation="portrait" r:id="rId1"/>
  <ignoredErrors>
    <ignoredError sqref="D46:D47 F4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57"/>
  <sheetViews>
    <sheetView topLeftCell="A22" zoomScale="115" zoomScaleNormal="115" workbookViewId="0">
      <selection activeCell="R9" sqref="R9"/>
    </sheetView>
  </sheetViews>
  <sheetFormatPr defaultRowHeight="15" x14ac:dyDescent="0.25"/>
  <cols>
    <col min="1" max="1" width="1" customWidth="1"/>
    <col min="2" max="2" width="24.42578125" customWidth="1"/>
    <col min="3" max="3" width="10.7109375" customWidth="1"/>
    <col min="4" max="4" width="4" style="1" bestFit="1" customWidth="1"/>
    <col min="5" max="5" width="10.7109375" customWidth="1"/>
    <col min="6" max="6" width="4" style="1" bestFit="1" customWidth="1"/>
    <col min="7" max="7" width="10.7109375" style="1" customWidth="1"/>
    <col min="8" max="8" width="5.7109375" style="1" customWidth="1"/>
    <col min="9" max="9" width="10.7109375" customWidth="1"/>
    <col min="10" max="10" width="4" style="1" bestFit="1" customWidth="1"/>
    <col min="11" max="11" width="10.7109375" customWidth="1"/>
    <col min="12" max="12" width="3.7109375" style="1" customWidth="1"/>
    <col min="13" max="13" width="1.5703125" customWidth="1"/>
    <col min="14" max="14" width="3" customWidth="1"/>
    <col min="15" max="15" width="27.140625" customWidth="1"/>
    <col min="16" max="16" width="6.5703125" customWidth="1"/>
    <col min="17" max="17" width="3.42578125" customWidth="1"/>
    <col min="18" max="18" width="9.7109375" customWidth="1"/>
  </cols>
  <sheetData>
    <row r="1" spans="2:18" x14ac:dyDescent="0.25">
      <c r="B1" s="62" t="str">
        <f ca="1">CONCATENATE(" bestandsnaam = ", MID(CELL("bestandsnaam",$C$6),SEARCH("[",CELL("bestandsnaam",$C$6),1)+1,SEARCH("]",CELL("bestandsnaam",$C$6),1)-2-SEARCH("[",CELL("bestandsnaam",$C$6),1)))</f>
        <v xml:space="preserve"> bestandsnaam = PB1_week3_meetnauwkeurigheid_v20150924_0900.xls</v>
      </c>
      <c r="L1" s="124" t="str">
        <f ca="1">MID(   CELL("bestandsnaam",$C$18),SEARCH("]",CELL("bestandsnaam",$C$18),1)+1,    99  )</f>
        <v>M1.2 (R x I)</v>
      </c>
    </row>
    <row r="2" spans="2:18" x14ac:dyDescent="0.25">
      <c r="B2" s="62"/>
      <c r="L2" s="124"/>
      <c r="Q2" s="58"/>
    </row>
    <row r="3" spans="2:18" ht="15.75" x14ac:dyDescent="0.25">
      <c r="B3" s="135" t="s">
        <v>72</v>
      </c>
      <c r="L3" s="124"/>
    </row>
    <row r="4" spans="2:18" ht="15.75" thickBot="1" x14ac:dyDescent="0.3">
      <c r="P4" s="58"/>
    </row>
    <row r="5" spans="2:18" ht="18.75" x14ac:dyDescent="0.3">
      <c r="B5" s="8" t="s">
        <v>0</v>
      </c>
      <c r="C5" s="108" t="s">
        <v>35</v>
      </c>
      <c r="D5" s="109"/>
      <c r="E5" s="109"/>
      <c r="F5" s="109"/>
      <c r="G5" s="109"/>
      <c r="H5" s="110"/>
      <c r="I5" s="111" t="s">
        <v>1</v>
      </c>
      <c r="J5" s="112"/>
      <c r="K5" s="112"/>
      <c r="L5" s="113"/>
      <c r="N5" s="132" t="s">
        <v>64</v>
      </c>
      <c r="O5" s="129"/>
      <c r="P5" s="129"/>
      <c r="Q5" s="129"/>
    </row>
    <row r="6" spans="2:18" x14ac:dyDescent="0.25">
      <c r="B6" s="9" t="s">
        <v>2</v>
      </c>
      <c r="C6" s="98" t="s">
        <v>3</v>
      </c>
      <c r="D6" s="99"/>
      <c r="E6" s="99"/>
      <c r="F6" s="99"/>
      <c r="G6" s="100"/>
      <c r="H6" s="93"/>
      <c r="I6" s="7" t="s">
        <v>4</v>
      </c>
      <c r="J6" s="101">
        <f ca="1">NOW()</f>
        <v>42271.45158483796</v>
      </c>
      <c r="K6" s="101"/>
      <c r="L6" s="102"/>
      <c r="N6" s="129"/>
      <c r="O6" s="128" t="s">
        <v>61</v>
      </c>
      <c r="P6" s="129">
        <v>5.75</v>
      </c>
      <c r="Q6" s="129"/>
      <c r="R6" s="127"/>
    </row>
    <row r="7" spans="2:18" x14ac:dyDescent="0.25">
      <c r="B7" s="10" t="s">
        <v>24</v>
      </c>
      <c r="C7" s="19">
        <v>3000</v>
      </c>
      <c r="D7" s="2" t="s">
        <v>5</v>
      </c>
      <c r="E7" s="103" t="s">
        <v>26</v>
      </c>
      <c r="F7" s="104"/>
      <c r="G7" s="19">
        <f>POWER(10,TRUNC(LOG(C7,10))-5)</f>
        <v>0.01</v>
      </c>
      <c r="H7" s="3" t="str">
        <f>D7</f>
        <v>Ω</v>
      </c>
      <c r="I7" s="79" t="s">
        <v>6</v>
      </c>
      <c r="J7" s="80"/>
      <c r="K7" s="80"/>
      <c r="L7" s="81"/>
      <c r="N7" s="129"/>
      <c r="O7" s="128" t="s">
        <v>63</v>
      </c>
      <c r="P7" s="129">
        <f>IF(C10&lt;IF((P6-TRUNC(P6))=0.75,3,IF((P6-TRUNC(P6))=0.5,2,10))*POWER(10,TRUNC(LOG(C7,10))),IF((P6-TRUNC(P6))=0.75,3,IF((P6-TRUNC(P6))=0.5,2,10))*POWER(10,TRUNC(LOG(C7,10))),IF((P6-TRUNC(P6))=0.75,3,IF((P6-TRUNC(P6))=0.5,2,10))*POWER(10,TRUNC(LOG(C7,10)))*10)</f>
        <v>3000</v>
      </c>
      <c r="Q7" s="129" t="str">
        <f>D7</f>
        <v>Ω</v>
      </c>
      <c r="R7" s="127"/>
    </row>
    <row r="8" spans="2:18" x14ac:dyDescent="0.25">
      <c r="B8" s="105"/>
      <c r="C8" s="106"/>
      <c r="D8" s="106"/>
      <c r="E8" s="106"/>
      <c r="F8" s="106"/>
      <c r="G8" s="107"/>
      <c r="H8" s="107"/>
      <c r="I8" s="106"/>
      <c r="J8" s="106"/>
      <c r="K8" s="106"/>
      <c r="L8" s="97"/>
      <c r="Q8" s="61" t="str">
        <f>IF(AND(P7=30,Q7="mA"),"NB: ipv 30mA is ook 20mA mogelijk","")</f>
        <v/>
      </c>
      <c r="R8" s="127"/>
    </row>
    <row r="9" spans="2:18" x14ac:dyDescent="0.25">
      <c r="B9" s="11" t="s">
        <v>11</v>
      </c>
      <c r="C9" s="90" t="s">
        <v>23</v>
      </c>
      <c r="D9" s="91"/>
      <c r="E9" s="92" t="s">
        <v>13</v>
      </c>
      <c r="F9" s="93"/>
      <c r="G9" s="92" t="s">
        <v>14</v>
      </c>
      <c r="H9" s="93"/>
      <c r="I9" s="94" t="s">
        <v>15</v>
      </c>
      <c r="J9" s="95"/>
      <c r="K9" s="96" t="s">
        <v>16</v>
      </c>
      <c r="L9" s="97"/>
      <c r="N9" s="132" t="s">
        <v>65</v>
      </c>
      <c r="O9" s="129"/>
      <c r="P9" s="129"/>
      <c r="Q9" s="129"/>
      <c r="R9" s="127"/>
    </row>
    <row r="10" spans="2:18" ht="15.75" thickBot="1" x14ac:dyDescent="0.3">
      <c r="B10" s="26" t="s">
        <v>30</v>
      </c>
      <c r="C10" s="20">
        <v>978.7</v>
      </c>
      <c r="D10" s="13" t="str">
        <f>D7</f>
        <v>Ω</v>
      </c>
      <c r="E10" s="12">
        <f>ROUNDUP(SUM(E13:E15),P11)</f>
        <v>0.84</v>
      </c>
      <c r="F10" s="13" t="str">
        <f>D10</f>
        <v>Ω</v>
      </c>
      <c r="G10" s="14">
        <f>IF(ISNUMBER(C10),100*E10/C10,"-")</f>
        <v>8.5828139368550119E-2</v>
      </c>
      <c r="H10" s="15" t="s">
        <v>8</v>
      </c>
      <c r="I10" s="16">
        <f>C10-E10</f>
        <v>977.86</v>
      </c>
      <c r="J10" s="13" t="str">
        <f>D10</f>
        <v>Ω</v>
      </c>
      <c r="K10" s="16">
        <f>C10+E10</f>
        <v>979.54000000000008</v>
      </c>
      <c r="L10" s="17" t="str">
        <f>D10</f>
        <v>Ω</v>
      </c>
      <c r="N10" s="131" t="s">
        <v>67</v>
      </c>
      <c r="O10" s="130"/>
      <c r="P10" s="129"/>
      <c r="Q10" s="129"/>
      <c r="R10" s="127"/>
    </row>
    <row r="11" spans="2:18" ht="24.95" customHeight="1" x14ac:dyDescent="0.25">
      <c r="B11" s="74" t="s">
        <v>33</v>
      </c>
      <c r="C11" s="75"/>
      <c r="D11" s="75"/>
      <c r="E11" s="75"/>
      <c r="F11" s="75"/>
      <c r="G11" s="75"/>
      <c r="H11" s="75"/>
      <c r="I11" s="75"/>
      <c r="J11" s="75"/>
      <c r="K11" s="75"/>
      <c r="L11" s="76"/>
      <c r="N11" s="129"/>
      <c r="O11" s="133" t="s">
        <v>62</v>
      </c>
      <c r="P11" s="133">
        <f>TRUNC(P6)-TRUNC(LOG10(P7))</f>
        <v>2</v>
      </c>
      <c r="Q11" s="127"/>
      <c r="R11" s="127"/>
    </row>
    <row r="12" spans="2:18" x14ac:dyDescent="0.25">
      <c r="B12" s="11" t="s">
        <v>32</v>
      </c>
      <c r="C12" s="77" t="s">
        <v>12</v>
      </c>
      <c r="D12" s="78"/>
      <c r="E12" s="27" t="s">
        <v>13</v>
      </c>
      <c r="F12" s="28"/>
      <c r="G12" s="29" t="s">
        <v>14</v>
      </c>
      <c r="H12" s="28"/>
      <c r="I12" s="79" t="s">
        <v>27</v>
      </c>
      <c r="J12" s="80"/>
      <c r="K12" s="80"/>
      <c r="L12" s="81"/>
      <c r="N12" s="131" t="s">
        <v>66</v>
      </c>
      <c r="O12" s="130"/>
      <c r="P12" s="129"/>
    </row>
    <row r="13" spans="2:18" x14ac:dyDescent="0.25">
      <c r="B13" s="31" t="s">
        <v>7</v>
      </c>
      <c r="C13" s="32">
        <v>0.05</v>
      </c>
      <c r="D13" s="33" t="s">
        <v>8</v>
      </c>
      <c r="E13" s="47">
        <f>C10*C13/100</f>
        <v>0.48935000000000001</v>
      </c>
      <c r="F13" s="35" t="str">
        <f>D7</f>
        <v>Ω</v>
      </c>
      <c r="G13" s="36">
        <f>IF(ISNUMBER(C13),100*E13/C10,"-")</f>
        <v>0.05</v>
      </c>
      <c r="H13" s="33" t="s">
        <v>8</v>
      </c>
      <c r="I13" s="82" t="s">
        <v>25</v>
      </c>
      <c r="J13" s="83"/>
      <c r="K13" s="83"/>
      <c r="L13" s="84"/>
      <c r="N13" s="129"/>
      <c r="O13" s="128" t="s">
        <v>62</v>
      </c>
      <c r="P13" s="128">
        <f>TRUNC(P6)-TRUNC(LOG10(P7))</f>
        <v>2</v>
      </c>
    </row>
    <row r="14" spans="2:18" x14ac:dyDescent="0.25">
      <c r="B14" s="31" t="s">
        <v>9</v>
      </c>
      <c r="C14" s="32">
        <v>0.01</v>
      </c>
      <c r="D14" s="33" t="s">
        <v>8</v>
      </c>
      <c r="E14" s="47">
        <f>C7*C14/100</f>
        <v>0.3</v>
      </c>
      <c r="F14" s="35" t="str">
        <f>D7</f>
        <v>Ω</v>
      </c>
      <c r="G14" s="36">
        <f>IF(ISNUMBER(C14),100*E14/C10,"-")</f>
        <v>3.0652906917339327E-2</v>
      </c>
      <c r="H14" s="33" t="s">
        <v>8</v>
      </c>
      <c r="I14" s="82" t="s">
        <v>28</v>
      </c>
      <c r="J14" s="83"/>
      <c r="K14" s="83"/>
      <c r="L14" s="84"/>
      <c r="N14" s="131" t="s">
        <v>68</v>
      </c>
      <c r="O14" s="130"/>
      <c r="P14" s="129"/>
      <c r="Q14" s="129"/>
    </row>
    <row r="15" spans="2:18" ht="15.75" thickBot="1" x14ac:dyDescent="0.3">
      <c r="B15" s="37" t="s">
        <v>18</v>
      </c>
      <c r="C15" s="38">
        <v>5</v>
      </c>
      <c r="D15" s="39" t="s">
        <v>10</v>
      </c>
      <c r="E15" s="47">
        <f>G7*C15</f>
        <v>0.05</v>
      </c>
      <c r="F15" s="41" t="str">
        <f>D7</f>
        <v>Ω</v>
      </c>
      <c r="G15" s="42">
        <f>IF(ISNUMBER(C15),100*E15/C10,"-")</f>
        <v>5.1088178195565544E-3</v>
      </c>
      <c r="H15" s="39" t="s">
        <v>8</v>
      </c>
      <c r="I15" s="85" t="s">
        <v>29</v>
      </c>
      <c r="J15" s="86"/>
      <c r="K15" s="86"/>
      <c r="L15" s="87"/>
      <c r="N15" s="129"/>
      <c r="O15" s="128" t="s">
        <v>62</v>
      </c>
      <c r="P15" s="128">
        <v>5</v>
      </c>
      <c r="Q15" s="127"/>
    </row>
    <row r="16" spans="2:18" s="30" customFormat="1" ht="24.95" customHeight="1" x14ac:dyDescent="0.25">
      <c r="B16" s="67" t="s">
        <v>34</v>
      </c>
      <c r="C16" s="68"/>
      <c r="D16" s="68"/>
      <c r="E16" s="68"/>
      <c r="F16" s="68"/>
      <c r="G16" s="68"/>
      <c r="H16" s="68"/>
      <c r="I16" s="69" t="str">
        <f ca="1">CONCATENATE(" versie: ",   MID(   CELL("bestandsnaam",$C$18),SEARCH("v20",CELL("bestandsnaam",$C$18),1)+1,    13   )   )</f>
        <v xml:space="preserve"> versie: 20150924_0900</v>
      </c>
      <c r="J16" s="70"/>
      <c r="K16" s="70"/>
      <c r="L16" s="70"/>
      <c r="N16"/>
      <c r="O16"/>
      <c r="P16"/>
      <c r="Q16"/>
      <c r="R16"/>
    </row>
    <row r="17" spans="2:17" ht="15.75" thickBot="1" x14ac:dyDescent="0.3"/>
    <row r="18" spans="2:17" ht="18.75" x14ac:dyDescent="0.3">
      <c r="B18" s="8" t="s">
        <v>0</v>
      </c>
      <c r="C18" s="108" t="s">
        <v>17</v>
      </c>
      <c r="D18" s="109"/>
      <c r="E18" s="109"/>
      <c r="F18" s="109"/>
      <c r="G18" s="109"/>
      <c r="H18" s="110"/>
      <c r="I18" s="111" t="s">
        <v>1</v>
      </c>
      <c r="J18" s="112"/>
      <c r="K18" s="112"/>
      <c r="L18" s="113"/>
      <c r="N18" s="132" t="s">
        <v>64</v>
      </c>
      <c r="O18" s="129"/>
      <c r="P18" s="129"/>
      <c r="Q18" s="129"/>
    </row>
    <row r="19" spans="2:17" x14ac:dyDescent="0.25">
      <c r="B19" s="9" t="s">
        <v>2</v>
      </c>
      <c r="C19" s="98" t="s">
        <v>3</v>
      </c>
      <c r="D19" s="99"/>
      <c r="E19" s="99"/>
      <c r="F19" s="99"/>
      <c r="G19" s="100"/>
      <c r="H19" s="93"/>
      <c r="I19" s="7" t="s">
        <v>4</v>
      </c>
      <c r="J19" s="101">
        <f ca="1">NOW()</f>
        <v>42271.45158483796</v>
      </c>
      <c r="K19" s="101"/>
      <c r="L19" s="102"/>
      <c r="N19" s="129"/>
      <c r="O19" s="128" t="s">
        <v>61</v>
      </c>
      <c r="P19" s="129">
        <v>5.75</v>
      </c>
      <c r="Q19" s="129"/>
    </row>
    <row r="20" spans="2:17" x14ac:dyDescent="0.25">
      <c r="B20" s="10" t="s">
        <v>24</v>
      </c>
      <c r="C20" s="19">
        <v>30</v>
      </c>
      <c r="D20" s="2" t="s">
        <v>42</v>
      </c>
      <c r="E20" s="103" t="s">
        <v>26</v>
      </c>
      <c r="F20" s="104"/>
      <c r="G20" s="19">
        <f>POWER(10,TRUNC(LOG(C20,10))-5)</f>
        <v>1E-4</v>
      </c>
      <c r="H20" s="3" t="str">
        <f>D20</f>
        <v>mA</v>
      </c>
      <c r="I20" s="79" t="s">
        <v>6</v>
      </c>
      <c r="J20" s="80"/>
      <c r="K20" s="80"/>
      <c r="L20" s="81"/>
      <c r="N20" s="129"/>
      <c r="O20" s="128" t="s">
        <v>63</v>
      </c>
      <c r="P20" s="129">
        <f>IF(C23&lt;IF((P19-TRUNC(P19))=0.75,3,IF((P19-TRUNC(P19))=0.5,2,10))*POWER(10,TRUNC(LOG(C20,10))),IF((P19-TRUNC(P19))=0.75,3,IF((P19-TRUNC(P19))=0.5,2,10))*POWER(10,TRUNC(LOG(C20,10))),IF((P19-TRUNC(P19))=0.75,3,IF((P19-TRUNC(P19))=0.5,2,10))*POWER(10,TRUNC(LOG(C20,10)))*10)</f>
        <v>30</v>
      </c>
      <c r="Q20" s="129" t="str">
        <f>D20</f>
        <v>mA</v>
      </c>
    </row>
    <row r="21" spans="2:17" x14ac:dyDescent="0.25">
      <c r="B21" s="105"/>
      <c r="C21" s="106"/>
      <c r="D21" s="106"/>
      <c r="E21" s="106"/>
      <c r="F21" s="106"/>
      <c r="G21" s="107"/>
      <c r="H21" s="107"/>
      <c r="I21" s="106"/>
      <c r="J21" s="106"/>
      <c r="K21" s="106"/>
      <c r="L21" s="97"/>
      <c r="Q21" s="61" t="str">
        <f>IF(AND(P20=30,Q20="mA"),"NB: ipv 30mA is ook 20mA mogelijk","")</f>
        <v>NB: ipv 30mA is ook 20mA mogelijk</v>
      </c>
    </row>
    <row r="22" spans="2:17" x14ac:dyDescent="0.25">
      <c r="B22" s="11" t="s">
        <v>11</v>
      </c>
      <c r="C22" s="90" t="s">
        <v>23</v>
      </c>
      <c r="D22" s="91"/>
      <c r="E22" s="92" t="s">
        <v>13</v>
      </c>
      <c r="F22" s="93"/>
      <c r="G22" s="92" t="s">
        <v>14</v>
      </c>
      <c r="H22" s="93"/>
      <c r="I22" s="94" t="s">
        <v>15</v>
      </c>
      <c r="J22" s="95"/>
      <c r="K22" s="96" t="s">
        <v>16</v>
      </c>
      <c r="L22" s="97"/>
      <c r="N22" s="132" t="s">
        <v>65</v>
      </c>
      <c r="O22" s="129"/>
      <c r="P22" s="129"/>
      <c r="Q22" s="129"/>
    </row>
    <row r="23" spans="2:17" ht="15.75" thickBot="1" x14ac:dyDescent="0.3">
      <c r="B23" s="26" t="s">
        <v>30</v>
      </c>
      <c r="C23" s="48">
        <v>20.5</v>
      </c>
      <c r="D23" s="13" t="str">
        <f>D20</f>
        <v>mA</v>
      </c>
      <c r="E23" s="49">
        <f>ROUNDUP(SUM(E26:E28),P24)</f>
        <v>1.38E-2</v>
      </c>
      <c r="F23" s="13" t="str">
        <f>D23</f>
        <v>mA</v>
      </c>
      <c r="G23" s="14">
        <f>IF(ISNUMBER(C23),100*E23/C23,"-")</f>
        <v>6.7317073170731698E-2</v>
      </c>
      <c r="H23" s="15" t="s">
        <v>8</v>
      </c>
      <c r="I23" s="50">
        <f>C23-E23</f>
        <v>20.4862</v>
      </c>
      <c r="J23" s="13" t="str">
        <f>D23</f>
        <v>mA</v>
      </c>
      <c r="K23" s="50">
        <f>C23+E23</f>
        <v>20.5138</v>
      </c>
      <c r="L23" s="17" t="str">
        <f>D23</f>
        <v>mA</v>
      </c>
      <c r="N23" s="131" t="s">
        <v>67</v>
      </c>
      <c r="O23" s="130"/>
      <c r="P23" s="129"/>
      <c r="Q23" s="129"/>
    </row>
    <row r="24" spans="2:17" ht="24.95" customHeight="1" x14ac:dyDescent="0.25">
      <c r="B24" s="74" t="s">
        <v>33</v>
      </c>
      <c r="C24" s="75"/>
      <c r="D24" s="75"/>
      <c r="E24" s="75"/>
      <c r="F24" s="75"/>
      <c r="G24" s="75"/>
      <c r="H24" s="75"/>
      <c r="I24" s="75"/>
      <c r="J24" s="75"/>
      <c r="K24" s="75"/>
      <c r="L24" s="76"/>
      <c r="N24" s="129"/>
      <c r="O24" s="133" t="s">
        <v>62</v>
      </c>
      <c r="P24" s="133">
        <f>TRUNC(P19)-TRUNC(LOG10(P20))</f>
        <v>4</v>
      </c>
      <c r="Q24" s="127"/>
    </row>
    <row r="25" spans="2:17" x14ac:dyDescent="0.25">
      <c r="B25" s="11" t="s">
        <v>32</v>
      </c>
      <c r="C25" s="77" t="s">
        <v>12</v>
      </c>
      <c r="D25" s="78"/>
      <c r="E25" s="27" t="s">
        <v>13</v>
      </c>
      <c r="F25" s="28"/>
      <c r="G25" s="29" t="s">
        <v>14</v>
      </c>
      <c r="H25" s="28"/>
      <c r="I25" s="79" t="s">
        <v>27</v>
      </c>
      <c r="J25" s="80"/>
      <c r="K25" s="80"/>
      <c r="L25" s="81"/>
      <c r="N25" s="131" t="s">
        <v>66</v>
      </c>
      <c r="O25" s="130"/>
      <c r="P25" s="129"/>
    </row>
    <row r="26" spans="2:17" x14ac:dyDescent="0.25">
      <c r="B26" s="31" t="s">
        <v>7</v>
      </c>
      <c r="C26" s="32">
        <v>0.05</v>
      </c>
      <c r="D26" s="33" t="s">
        <v>8</v>
      </c>
      <c r="E26" s="51">
        <f>C23*C26/100</f>
        <v>1.0250000000000002E-2</v>
      </c>
      <c r="F26" s="35" t="str">
        <f>D20</f>
        <v>mA</v>
      </c>
      <c r="G26" s="36">
        <f>IF(ISNUMBER(C26),100*E26/C23,"-")</f>
        <v>5.000000000000001E-2</v>
      </c>
      <c r="H26" s="33" t="s">
        <v>8</v>
      </c>
      <c r="I26" s="82" t="s">
        <v>25</v>
      </c>
      <c r="J26" s="83"/>
      <c r="K26" s="83"/>
      <c r="L26" s="84"/>
      <c r="N26" s="129"/>
      <c r="O26" s="128" t="s">
        <v>62</v>
      </c>
      <c r="P26" s="128">
        <f>TRUNC(P19)-TRUNC(LOG10(P20))</f>
        <v>4</v>
      </c>
    </row>
    <row r="27" spans="2:17" x14ac:dyDescent="0.25">
      <c r="B27" s="31" t="s">
        <v>9</v>
      </c>
      <c r="C27" s="32">
        <v>0.01</v>
      </c>
      <c r="D27" s="33" t="s">
        <v>8</v>
      </c>
      <c r="E27" s="51">
        <f>C20*C27/100</f>
        <v>3.0000000000000001E-3</v>
      </c>
      <c r="F27" s="35" t="str">
        <f>D20</f>
        <v>mA</v>
      </c>
      <c r="G27" s="36">
        <f>IF(ISNUMBER(C27),100*E27/C23,"-")</f>
        <v>1.4634146341463414E-2</v>
      </c>
      <c r="H27" s="33" t="s">
        <v>8</v>
      </c>
      <c r="I27" s="82" t="s">
        <v>28</v>
      </c>
      <c r="J27" s="83"/>
      <c r="K27" s="83"/>
      <c r="L27" s="84"/>
      <c r="N27" s="131" t="s">
        <v>68</v>
      </c>
      <c r="O27" s="130"/>
      <c r="P27" s="129"/>
      <c r="Q27" s="129"/>
    </row>
    <row r="28" spans="2:17" ht="15.75" thickBot="1" x14ac:dyDescent="0.3">
      <c r="B28" s="37" t="s">
        <v>18</v>
      </c>
      <c r="C28" s="38">
        <v>5</v>
      </c>
      <c r="D28" s="39" t="s">
        <v>10</v>
      </c>
      <c r="E28" s="51">
        <f>G20*C28</f>
        <v>5.0000000000000001E-4</v>
      </c>
      <c r="F28" s="41" t="str">
        <f>D20</f>
        <v>mA</v>
      </c>
      <c r="G28" s="42">
        <f>IF(ISNUMBER(C28),100*E28/C23,"-")</f>
        <v>2.4390243902439024E-3</v>
      </c>
      <c r="H28" s="39" t="s">
        <v>8</v>
      </c>
      <c r="I28" s="85" t="s">
        <v>29</v>
      </c>
      <c r="J28" s="86"/>
      <c r="K28" s="86"/>
      <c r="L28" s="87"/>
      <c r="N28" s="129"/>
      <c r="O28" s="128" t="s">
        <v>62</v>
      </c>
      <c r="P28" s="128">
        <v>5</v>
      </c>
      <c r="Q28" s="127"/>
    </row>
    <row r="29" spans="2:17" ht="30" customHeight="1" x14ac:dyDescent="0.25">
      <c r="B29" s="67" t="s">
        <v>34</v>
      </c>
      <c r="C29" s="68"/>
      <c r="D29" s="68"/>
      <c r="E29" s="68"/>
      <c r="F29" s="68"/>
      <c r="G29" s="68"/>
      <c r="H29" s="68"/>
      <c r="I29" s="69" t="str">
        <f ca="1">CONCATENATE(" versie: ",   MID(   CELL("bestandsnaam",$C$6),SEARCH("v20",CELL("bestandsnaam",$C$6),1)+1,    13   )   )</f>
        <v xml:space="preserve"> versie: 20150924_0900</v>
      </c>
      <c r="J29" s="70"/>
      <c r="K29" s="70"/>
      <c r="L29" s="70"/>
    </row>
    <row r="30" spans="2:17" ht="15.75" thickBot="1" x14ac:dyDescent="0.3"/>
    <row r="31" spans="2:17" ht="18.75" x14ac:dyDescent="0.3">
      <c r="B31" s="8" t="s">
        <v>0</v>
      </c>
      <c r="C31" s="108" t="s">
        <v>31</v>
      </c>
      <c r="D31" s="109"/>
      <c r="E31" s="109"/>
      <c r="F31" s="109"/>
      <c r="G31" s="109"/>
      <c r="H31" s="110"/>
      <c r="I31" s="111" t="s">
        <v>1</v>
      </c>
      <c r="J31" s="112"/>
      <c r="K31" s="112"/>
      <c r="L31" s="113"/>
      <c r="N31" s="132" t="s">
        <v>64</v>
      </c>
      <c r="O31" s="129"/>
      <c r="P31" s="129"/>
      <c r="Q31" s="129"/>
    </row>
    <row r="32" spans="2:17" x14ac:dyDescent="0.25">
      <c r="B32" s="9" t="s">
        <v>2</v>
      </c>
      <c r="C32" s="98" t="s">
        <v>3</v>
      </c>
      <c r="D32" s="99"/>
      <c r="E32" s="99"/>
      <c r="F32" s="99"/>
      <c r="G32" s="100"/>
      <c r="H32" s="93"/>
      <c r="I32" s="6" t="s">
        <v>4</v>
      </c>
      <c r="J32" s="101">
        <f ca="1">NOW()</f>
        <v>42271.45158483796</v>
      </c>
      <c r="K32" s="101"/>
      <c r="L32" s="102"/>
      <c r="N32" s="129"/>
      <c r="O32" s="128" t="s">
        <v>61</v>
      </c>
      <c r="P32" s="129">
        <v>5.75</v>
      </c>
      <c r="Q32" s="129"/>
    </row>
    <row r="33" spans="2:18" x14ac:dyDescent="0.25">
      <c r="B33" s="10" t="s">
        <v>24</v>
      </c>
      <c r="C33" s="19">
        <v>30</v>
      </c>
      <c r="D33" s="2" t="s">
        <v>19</v>
      </c>
      <c r="E33" s="103" t="s">
        <v>26</v>
      </c>
      <c r="F33" s="104"/>
      <c r="G33" s="19">
        <f>POWER(10,TRUNC(LOG(C33,10))-5)</f>
        <v>1E-4</v>
      </c>
      <c r="H33" s="3" t="str">
        <f>D33</f>
        <v>V</v>
      </c>
      <c r="I33" s="79" t="s">
        <v>6</v>
      </c>
      <c r="J33" s="80"/>
      <c r="K33" s="80"/>
      <c r="L33" s="81"/>
      <c r="N33" s="129"/>
      <c r="O33" s="128" t="s">
        <v>63</v>
      </c>
      <c r="P33" s="129">
        <f>IF(C36&lt;IF((P32-TRUNC(P32))=0.75,3,IF((P32-TRUNC(P32))=0.5,2,10))*POWER(10,TRUNC(LOG(C33,10))),IF((P32-TRUNC(P32))=0.75,3,IF((P32-TRUNC(P32))=0.5,2,10))*POWER(10,TRUNC(LOG(C33,10))),IF((P32-TRUNC(P32))=0.75,3,IF((P32-TRUNC(P32))=0.5,2,10))*POWER(10,TRUNC(LOG(C33,10)))*10)</f>
        <v>30</v>
      </c>
      <c r="Q33" s="129" t="str">
        <f>D33</f>
        <v>V</v>
      </c>
    </row>
    <row r="34" spans="2:18" x14ac:dyDescent="0.25">
      <c r="B34" s="105"/>
      <c r="C34" s="106"/>
      <c r="D34" s="106"/>
      <c r="E34" s="106"/>
      <c r="F34" s="106"/>
      <c r="G34" s="107"/>
      <c r="H34" s="107"/>
      <c r="I34" s="106"/>
      <c r="J34" s="106"/>
      <c r="K34" s="106"/>
      <c r="L34" s="97"/>
      <c r="Q34" s="61" t="str">
        <f>IF(AND(P33=30,Q33="mA"),"NB: ipv 30mA is ook 20mA mogelijk","")</f>
        <v/>
      </c>
    </row>
    <row r="35" spans="2:18" x14ac:dyDescent="0.25">
      <c r="B35" s="11" t="s">
        <v>11</v>
      </c>
      <c r="C35" s="90" t="s">
        <v>23</v>
      </c>
      <c r="D35" s="91"/>
      <c r="E35" s="92" t="s">
        <v>13</v>
      </c>
      <c r="F35" s="93"/>
      <c r="G35" s="92" t="s">
        <v>14</v>
      </c>
      <c r="H35" s="93"/>
      <c r="I35" s="94" t="s">
        <v>15</v>
      </c>
      <c r="J35" s="95"/>
      <c r="K35" s="96" t="s">
        <v>16</v>
      </c>
      <c r="L35" s="97"/>
      <c r="N35" s="132" t="s">
        <v>65</v>
      </c>
      <c r="O35" s="129"/>
      <c r="P35" s="129"/>
      <c r="Q35" s="129"/>
    </row>
    <row r="36" spans="2:18" ht="15.75" thickBot="1" x14ac:dyDescent="0.3">
      <c r="B36" s="26" t="s">
        <v>30</v>
      </c>
      <c r="C36" s="48">
        <v>20.063500000000001</v>
      </c>
      <c r="D36" s="13" t="str">
        <f>D33</f>
        <v>V</v>
      </c>
      <c r="E36" s="49">
        <f>ROUNDUP(SUM(E39:E41),P37)</f>
        <v>6.1000000000000004E-3</v>
      </c>
      <c r="F36" s="13" t="str">
        <f>D36</f>
        <v>V</v>
      </c>
      <c r="G36" s="14">
        <f>IF(ISNUMBER(C36),ROUNDUP(100*E36/C36,5),"-")</f>
        <v>3.041E-2</v>
      </c>
      <c r="H36" s="15" t="s">
        <v>8</v>
      </c>
      <c r="I36" s="50">
        <f>C36-E36</f>
        <v>20.057400000000001</v>
      </c>
      <c r="J36" s="13" t="str">
        <f>D36</f>
        <v>V</v>
      </c>
      <c r="K36" s="50">
        <f>C36+E36</f>
        <v>20.069600000000001</v>
      </c>
      <c r="L36" s="17" t="str">
        <f>D36</f>
        <v>V</v>
      </c>
      <c r="N36" s="131" t="s">
        <v>67</v>
      </c>
      <c r="O36" s="130"/>
      <c r="P36" s="129"/>
      <c r="Q36" s="129"/>
    </row>
    <row r="37" spans="2:18" ht="24.95" customHeight="1" x14ac:dyDescent="0.25">
      <c r="B37" s="74" t="s">
        <v>33</v>
      </c>
      <c r="C37" s="75"/>
      <c r="D37" s="75"/>
      <c r="E37" s="75"/>
      <c r="F37" s="75"/>
      <c r="G37" s="75"/>
      <c r="H37" s="75"/>
      <c r="I37" s="75"/>
      <c r="J37" s="75"/>
      <c r="K37" s="75"/>
      <c r="L37" s="76"/>
      <c r="N37" s="129"/>
      <c r="O37" s="133" t="s">
        <v>62</v>
      </c>
      <c r="P37" s="133">
        <f>TRUNC(P32)-TRUNC(LOG10(P33))</f>
        <v>4</v>
      </c>
      <c r="Q37" s="127"/>
    </row>
    <row r="38" spans="2:18" x14ac:dyDescent="0.25">
      <c r="B38" s="11" t="s">
        <v>32</v>
      </c>
      <c r="C38" s="77" t="s">
        <v>12</v>
      </c>
      <c r="D38" s="78"/>
      <c r="E38" s="27" t="s">
        <v>13</v>
      </c>
      <c r="F38" s="28"/>
      <c r="G38" s="29" t="s">
        <v>14</v>
      </c>
      <c r="H38" s="28"/>
      <c r="I38" s="79" t="s">
        <v>27</v>
      </c>
      <c r="J38" s="80"/>
      <c r="K38" s="80"/>
      <c r="L38" s="81"/>
      <c r="N38" s="131" t="s">
        <v>66</v>
      </c>
      <c r="O38" s="130"/>
      <c r="P38" s="129"/>
    </row>
    <row r="39" spans="2:18" x14ac:dyDescent="0.25">
      <c r="B39" s="31" t="s">
        <v>7</v>
      </c>
      <c r="C39" s="32">
        <v>0.02</v>
      </c>
      <c r="D39" s="33" t="s">
        <v>8</v>
      </c>
      <c r="E39" s="51">
        <f>C36*C39/100</f>
        <v>4.0127000000000001E-3</v>
      </c>
      <c r="F39" s="35" t="str">
        <f>D33</f>
        <v>V</v>
      </c>
      <c r="G39" s="36">
        <f>IF(ISNUMBER(C39),100*E39/C36,"-")</f>
        <v>0.02</v>
      </c>
      <c r="H39" s="33" t="s">
        <v>8</v>
      </c>
      <c r="I39" s="82" t="s">
        <v>25</v>
      </c>
      <c r="J39" s="83"/>
      <c r="K39" s="83"/>
      <c r="L39" s="84"/>
      <c r="N39" s="129"/>
      <c r="O39" s="128" t="s">
        <v>62</v>
      </c>
      <c r="P39" s="128">
        <f>TRUNC(P32)-TRUNC(LOG10(P33))</f>
        <v>4</v>
      </c>
    </row>
    <row r="40" spans="2:18" x14ac:dyDescent="0.25">
      <c r="B40" s="31" t="s">
        <v>9</v>
      </c>
      <c r="C40" s="32">
        <v>5.0000000000000001E-3</v>
      </c>
      <c r="D40" s="33" t="s">
        <v>8</v>
      </c>
      <c r="E40" s="51">
        <f>C33*C40/100</f>
        <v>1.5E-3</v>
      </c>
      <c r="F40" s="35" t="str">
        <f>D33</f>
        <v>V</v>
      </c>
      <c r="G40" s="36">
        <f>IF(ISNUMBER(C40),100*E40/C36,"-")</f>
        <v>7.476262865402347E-3</v>
      </c>
      <c r="H40" s="33" t="s">
        <v>8</v>
      </c>
      <c r="I40" s="82" t="s">
        <v>28</v>
      </c>
      <c r="J40" s="83"/>
      <c r="K40" s="83"/>
      <c r="L40" s="84"/>
      <c r="N40" s="131" t="s">
        <v>68</v>
      </c>
      <c r="O40" s="130"/>
      <c r="P40" s="129"/>
      <c r="Q40" s="129"/>
    </row>
    <row r="41" spans="2:18" ht="15.75" thickBot="1" x14ac:dyDescent="0.3">
      <c r="B41" s="37" t="s">
        <v>18</v>
      </c>
      <c r="C41" s="38">
        <v>5</v>
      </c>
      <c r="D41" s="39" t="s">
        <v>10</v>
      </c>
      <c r="E41" s="51">
        <f>G33*C41</f>
        <v>5.0000000000000001E-4</v>
      </c>
      <c r="F41" s="41" t="str">
        <f>D33</f>
        <v>V</v>
      </c>
      <c r="G41" s="42">
        <f>IF(ISNUMBER(C41),100*E41/C36,"-")</f>
        <v>2.4920876218007823E-3</v>
      </c>
      <c r="H41" s="39" t="s">
        <v>8</v>
      </c>
      <c r="I41" s="85" t="s">
        <v>29</v>
      </c>
      <c r="J41" s="86"/>
      <c r="K41" s="86"/>
      <c r="L41" s="87"/>
      <c r="N41" s="129"/>
      <c r="O41" s="128" t="s">
        <v>62</v>
      </c>
      <c r="P41" s="128">
        <v>5</v>
      </c>
      <c r="Q41" s="127"/>
    </row>
    <row r="42" spans="2:18" ht="30" customHeight="1" x14ac:dyDescent="0.25">
      <c r="B42" s="67" t="s">
        <v>34</v>
      </c>
      <c r="C42" s="68"/>
      <c r="D42" s="68"/>
      <c r="E42" s="68"/>
      <c r="F42" s="68"/>
      <c r="G42" s="68"/>
      <c r="H42" s="68"/>
      <c r="I42" s="69" t="str">
        <f ca="1">CONCATENATE(" versie: ",   MID(   CELL("bestandsnaam",$C$6),SEARCH("v20",CELL("bestandsnaam",$C$6),1)+1,    13   )   )</f>
        <v xml:space="preserve"> versie: 20150924_0900</v>
      </c>
      <c r="J42" s="70"/>
      <c r="K42" s="70"/>
      <c r="L42" s="70"/>
      <c r="N42" s="30"/>
      <c r="O42" s="30"/>
      <c r="P42" s="30"/>
      <c r="Q42" s="30"/>
      <c r="R42" s="30"/>
    </row>
    <row r="43" spans="2:18" ht="15.75" thickBot="1" x14ac:dyDescent="0.3"/>
    <row r="44" spans="2:18" ht="15.75" x14ac:dyDescent="0.25">
      <c r="B44" s="52" t="s">
        <v>46</v>
      </c>
      <c r="C44" s="71" t="s">
        <v>44</v>
      </c>
      <c r="D44" s="72"/>
      <c r="E44" s="72"/>
      <c r="F44" s="72"/>
      <c r="G44" s="72"/>
      <c r="H44" s="73"/>
      <c r="I44" s="25" t="s">
        <v>4</v>
      </c>
      <c r="J44" s="88">
        <f ca="1">NOW()</f>
        <v>42271.45158483796</v>
      </c>
      <c r="K44" s="88"/>
      <c r="L44" s="89"/>
      <c r="N44" s="132" t="s">
        <v>69</v>
      </c>
      <c r="O44" s="129"/>
      <c r="P44" s="129"/>
      <c r="Q44" s="129"/>
    </row>
    <row r="45" spans="2:18" x14ac:dyDescent="0.25">
      <c r="B45" s="11" t="s">
        <v>20</v>
      </c>
      <c r="C45" s="90" t="s">
        <v>12</v>
      </c>
      <c r="D45" s="91"/>
      <c r="E45" s="90" t="s">
        <v>13</v>
      </c>
      <c r="F45" s="91"/>
      <c r="G45" s="90" t="s">
        <v>14</v>
      </c>
      <c r="H45" s="91"/>
      <c r="I45" s="114" t="s">
        <v>15</v>
      </c>
      <c r="J45" s="115"/>
      <c r="K45" s="116" t="s">
        <v>16</v>
      </c>
      <c r="L45" s="117"/>
      <c r="N45" s="131" t="s">
        <v>67</v>
      </c>
      <c r="O45" s="130"/>
      <c r="P45" s="129"/>
      <c r="Q45" s="129"/>
    </row>
    <row r="46" spans="2:18" x14ac:dyDescent="0.25">
      <c r="B46" s="21" t="s">
        <v>45</v>
      </c>
      <c r="C46" s="54">
        <f>ROUND(C10*C23/1000,P37)</f>
        <v>20.063400000000001</v>
      </c>
      <c r="D46" s="4" t="s">
        <v>19</v>
      </c>
      <c r="E46" s="54">
        <f>ROUNDUP(C46*G46/100,P37)</f>
        <v>3.0800000000000001E-2</v>
      </c>
      <c r="F46" s="3" t="str">
        <f>D46</f>
        <v>V</v>
      </c>
      <c r="G46" s="5">
        <f>G10+G23</f>
        <v>0.15314521253928182</v>
      </c>
      <c r="H46" s="4" t="s">
        <v>8</v>
      </c>
      <c r="I46" s="54">
        <f>C46-E46</f>
        <v>20.032600000000002</v>
      </c>
      <c r="J46" s="3" t="str">
        <f>D46</f>
        <v>V</v>
      </c>
      <c r="K46" s="54">
        <f>C46+E46</f>
        <v>20.094200000000001</v>
      </c>
      <c r="L46" s="22" t="str">
        <f>D46</f>
        <v>V</v>
      </c>
      <c r="N46" s="129"/>
      <c r="O46" s="133" t="s">
        <v>62</v>
      </c>
      <c r="P46" s="133">
        <v>4</v>
      </c>
      <c r="Q46" s="127"/>
    </row>
    <row r="47" spans="2:18" x14ac:dyDescent="0.25">
      <c r="B47" s="21" t="s">
        <v>43</v>
      </c>
      <c r="C47" s="54">
        <f>C36</f>
        <v>20.063500000000001</v>
      </c>
      <c r="D47" s="3" t="str">
        <f>D46</f>
        <v>V</v>
      </c>
      <c r="E47" s="54">
        <f>ROUNDUP(C47*G47/100,P37)</f>
        <v>6.2000000000000006E-3</v>
      </c>
      <c r="F47" s="3" t="str">
        <f>D47</f>
        <v>V</v>
      </c>
      <c r="G47" s="5">
        <f>G36</f>
        <v>3.041E-2</v>
      </c>
      <c r="H47" s="4" t="s">
        <v>8</v>
      </c>
      <c r="I47" s="54">
        <f>C47-E47</f>
        <v>20.057300000000001</v>
      </c>
      <c r="J47" s="3" t="str">
        <f>D47</f>
        <v>V</v>
      </c>
      <c r="K47" s="54">
        <f>C47+E47</f>
        <v>20.069700000000001</v>
      </c>
      <c r="L47" s="22" t="str">
        <f>D47</f>
        <v>V</v>
      </c>
      <c r="N47" s="131" t="s">
        <v>66</v>
      </c>
      <c r="O47" s="130"/>
      <c r="P47" s="129"/>
    </row>
    <row r="48" spans="2:18" x14ac:dyDescent="0.25">
      <c r="B48" s="11" t="s">
        <v>21</v>
      </c>
      <c r="C48" s="118"/>
      <c r="D48" s="106"/>
      <c r="E48" s="106"/>
      <c r="F48" s="106"/>
      <c r="G48" s="106"/>
      <c r="H48" s="106"/>
      <c r="I48" s="106"/>
      <c r="J48" s="106"/>
      <c r="K48" s="106"/>
      <c r="L48" s="97"/>
      <c r="N48" s="129"/>
      <c r="O48" s="128" t="s">
        <v>62</v>
      </c>
      <c r="P48" s="128">
        <v>4</v>
      </c>
    </row>
    <row r="49" spans="2:17" ht="15.75" thickBot="1" x14ac:dyDescent="0.3">
      <c r="B49" s="23" t="s">
        <v>51</v>
      </c>
      <c r="C49" s="54">
        <f>MIN(K46:K47)-MAX(I46:I47)</f>
        <v>1.2399999999999523E-2</v>
      </c>
      <c r="D49" s="13" t="str">
        <f>D47</f>
        <v>V</v>
      </c>
      <c r="E49" s="24">
        <f>IF(C49&gt;0,100*C49/(2*MIN(E46,E47))," no overlap! ")</f>
        <v>99.999999999996135</v>
      </c>
      <c r="F49" s="13" t="str">
        <f>IF(C49&gt;0,"%","")</f>
        <v>%</v>
      </c>
      <c r="G49" s="119" t="s">
        <v>22</v>
      </c>
      <c r="H49" s="120"/>
      <c r="I49" s="121" t="str">
        <f>IF(F49="%", IF(E49&gt;=50,"geldige meting !","matige meting"),"meting over doen?")</f>
        <v>geldige meting !</v>
      </c>
      <c r="J49" s="122"/>
      <c r="K49" s="122"/>
      <c r="L49" s="123"/>
      <c r="N49" s="131" t="s">
        <v>68</v>
      </c>
      <c r="O49" s="130"/>
      <c r="P49" s="129"/>
      <c r="Q49" s="129"/>
    </row>
    <row r="50" spans="2:17" ht="24.95" customHeight="1" thickBot="1" x14ac:dyDescent="0.3">
      <c r="B50" s="67" t="s">
        <v>33</v>
      </c>
      <c r="C50" s="68"/>
      <c r="D50" s="68"/>
      <c r="E50" s="68"/>
      <c r="F50" s="68"/>
      <c r="G50" s="68"/>
      <c r="H50" s="68"/>
      <c r="I50" s="69" t="str">
        <f ca="1">CONCATENATE(" versie: ",   MID(   CELL("bestandsnaam",$C$6),SEARCH("v20",CELL("bestandsnaam",$C$6),1)+1,    13   )   )</f>
        <v xml:space="preserve"> versie: 20150924_0900</v>
      </c>
      <c r="J50" s="70"/>
      <c r="K50" s="70"/>
      <c r="L50" s="70"/>
      <c r="N50" s="129"/>
      <c r="O50" s="133" t="s">
        <v>62</v>
      </c>
      <c r="P50" s="133">
        <v>5</v>
      </c>
      <c r="Q50" s="127"/>
    </row>
    <row r="51" spans="2:17" ht="15.75" x14ac:dyDescent="0.25">
      <c r="B51" s="52" t="s">
        <v>47</v>
      </c>
      <c r="C51" s="71" t="s">
        <v>48</v>
      </c>
      <c r="D51" s="72"/>
      <c r="E51" s="72"/>
      <c r="F51" s="72"/>
      <c r="G51" s="72"/>
      <c r="H51" s="73"/>
      <c r="I51" s="25" t="s">
        <v>4</v>
      </c>
      <c r="J51" s="88">
        <f ca="1">NOW()</f>
        <v>42271.45158483796</v>
      </c>
      <c r="K51" s="88"/>
      <c r="L51" s="89"/>
      <c r="N51" s="62" t="s">
        <v>71</v>
      </c>
    </row>
    <row r="52" spans="2:17" x14ac:dyDescent="0.25">
      <c r="B52" s="11" t="s">
        <v>20</v>
      </c>
      <c r="C52" s="90" t="s">
        <v>12</v>
      </c>
      <c r="D52" s="91"/>
      <c r="E52" s="90" t="s">
        <v>13</v>
      </c>
      <c r="F52" s="91"/>
      <c r="G52" s="90" t="s">
        <v>14</v>
      </c>
      <c r="H52" s="91"/>
      <c r="I52" s="114" t="s">
        <v>15</v>
      </c>
      <c r="J52" s="115"/>
      <c r="K52" s="116" t="s">
        <v>16</v>
      </c>
      <c r="L52" s="117"/>
      <c r="N52" s="129"/>
      <c r="O52" s="134" t="s">
        <v>70</v>
      </c>
      <c r="P52" s="133"/>
    </row>
    <row r="53" spans="2:17" x14ac:dyDescent="0.25">
      <c r="B53" s="21" t="s">
        <v>49</v>
      </c>
      <c r="C53" s="53">
        <f>ROUND(C36/C23*1000,P11)</f>
        <v>978.71</v>
      </c>
      <c r="D53" s="2" t="s">
        <v>5</v>
      </c>
      <c r="E53" s="53">
        <f>ROUNDUP(C53*G53/100,P11)</f>
        <v>0.96</v>
      </c>
      <c r="F53" s="3" t="str">
        <f>D53</f>
        <v>Ω</v>
      </c>
      <c r="G53" s="5">
        <f>G36+G23</f>
        <v>9.7727073170731704E-2</v>
      </c>
      <c r="H53" s="4" t="s">
        <v>8</v>
      </c>
      <c r="I53" s="53">
        <f>C53-E53</f>
        <v>977.75</v>
      </c>
      <c r="J53" s="3" t="str">
        <f>D53</f>
        <v>Ω</v>
      </c>
      <c r="K53" s="53">
        <f>C53+E53</f>
        <v>979.67000000000007</v>
      </c>
      <c r="L53" s="22" t="str">
        <f>D53</f>
        <v>Ω</v>
      </c>
    </row>
    <row r="54" spans="2:17" x14ac:dyDescent="0.25">
      <c r="B54" s="21" t="s">
        <v>50</v>
      </c>
      <c r="C54" s="53">
        <f>C10</f>
        <v>978.7</v>
      </c>
      <c r="D54" s="3" t="str">
        <f>D53</f>
        <v>Ω</v>
      </c>
      <c r="E54" s="53">
        <f>ROUNDUP(C54*G54/100,P11)</f>
        <v>0.84</v>
      </c>
      <c r="F54" s="3" t="str">
        <f>D54</f>
        <v>Ω</v>
      </c>
      <c r="G54" s="5">
        <f>G10</f>
        <v>8.5828139368550119E-2</v>
      </c>
      <c r="H54" s="4" t="s">
        <v>8</v>
      </c>
      <c r="I54" s="53">
        <f>C54-E54</f>
        <v>977.86</v>
      </c>
      <c r="J54" s="3" t="str">
        <f>D54</f>
        <v>Ω</v>
      </c>
      <c r="K54" s="53">
        <f>C54+E54</f>
        <v>979.54000000000008</v>
      </c>
      <c r="L54" s="22" t="str">
        <f>D54</f>
        <v>Ω</v>
      </c>
    </row>
    <row r="55" spans="2:17" x14ac:dyDescent="0.25">
      <c r="B55" s="11" t="s">
        <v>21</v>
      </c>
      <c r="C55" s="118"/>
      <c r="D55" s="106"/>
      <c r="E55" s="106"/>
      <c r="F55" s="106"/>
      <c r="G55" s="106"/>
      <c r="H55" s="106"/>
      <c r="I55" s="106"/>
      <c r="J55" s="106"/>
      <c r="K55" s="106"/>
      <c r="L55" s="97"/>
    </row>
    <row r="56" spans="2:17" ht="15.75" thickBot="1" x14ac:dyDescent="0.3">
      <c r="B56" s="23" t="s">
        <v>51</v>
      </c>
      <c r="C56" s="53">
        <f>MIN(K53:K54)-MAX(I53:I54)</f>
        <v>1.6800000000000637</v>
      </c>
      <c r="D56" s="13" t="str">
        <f>D54</f>
        <v>Ω</v>
      </c>
      <c r="E56" s="66">
        <f>IF(C56&gt;0,100*C56/(2*MIN(E53,E54))," no overlap! ")</f>
        <v>100.00000000000379</v>
      </c>
      <c r="F56" s="13" t="str">
        <f>IF(C56&gt;0,"%","")</f>
        <v>%</v>
      </c>
      <c r="G56" s="119" t="s">
        <v>22</v>
      </c>
      <c r="H56" s="120"/>
      <c r="I56" s="121" t="str">
        <f>IF(F56="%", IF(E56&gt;=50,"geldige meting !","matige meting"),"meting over doen?")</f>
        <v>geldige meting !</v>
      </c>
      <c r="J56" s="122"/>
      <c r="K56" s="122"/>
      <c r="L56" s="123"/>
    </row>
    <row r="57" spans="2:17" ht="30" customHeight="1" x14ac:dyDescent="0.25">
      <c r="B57" s="67" t="s">
        <v>34</v>
      </c>
      <c r="C57" s="68"/>
      <c r="D57" s="68"/>
      <c r="E57" s="68"/>
      <c r="F57" s="68"/>
      <c r="G57" s="68"/>
      <c r="H57" s="68"/>
      <c r="I57" s="69" t="str">
        <f ca="1">CONCATENATE(" versie: ",   MID(   CELL("bestandsnaam",$C$6),SEARCH("v20",CELL("bestandsnaam",$C$6),1)+1,    13   )   )</f>
        <v xml:space="preserve"> versie: 20150924_0900</v>
      </c>
      <c r="J57" s="70"/>
      <c r="K57" s="70"/>
      <c r="L57" s="70"/>
    </row>
  </sheetData>
  <mergeCells count="84">
    <mergeCell ref="B29:H29"/>
    <mergeCell ref="I29:L29"/>
    <mergeCell ref="C31:H31"/>
    <mergeCell ref="I31:L31"/>
    <mergeCell ref="B34:L34"/>
    <mergeCell ref="C35:D35"/>
    <mergeCell ref="E35:F35"/>
    <mergeCell ref="G35:H35"/>
    <mergeCell ref="I35:J35"/>
    <mergeCell ref="K35:L35"/>
    <mergeCell ref="I27:L27"/>
    <mergeCell ref="I28:L28"/>
    <mergeCell ref="C18:H18"/>
    <mergeCell ref="I18:L18"/>
    <mergeCell ref="C19:H19"/>
    <mergeCell ref="J19:L19"/>
    <mergeCell ref="I20:L20"/>
    <mergeCell ref="B24:L24"/>
    <mergeCell ref="C25:D25"/>
    <mergeCell ref="I25:L25"/>
    <mergeCell ref="E20:F20"/>
    <mergeCell ref="B21:L21"/>
    <mergeCell ref="C22:D22"/>
    <mergeCell ref="E22:F22"/>
    <mergeCell ref="G22:H22"/>
    <mergeCell ref="I14:L14"/>
    <mergeCell ref="I15:L15"/>
    <mergeCell ref="B8:L8"/>
    <mergeCell ref="C9:D9"/>
    <mergeCell ref="B11:L11"/>
    <mergeCell ref="C12:D12"/>
    <mergeCell ref="I12:L12"/>
    <mergeCell ref="G9:H9"/>
    <mergeCell ref="I9:J9"/>
    <mergeCell ref="K9:L9"/>
    <mergeCell ref="E9:F9"/>
    <mergeCell ref="I13:L13"/>
    <mergeCell ref="B16:H16"/>
    <mergeCell ref="I16:L16"/>
    <mergeCell ref="G49:H49"/>
    <mergeCell ref="I49:L49"/>
    <mergeCell ref="C45:D45"/>
    <mergeCell ref="E45:F45"/>
    <mergeCell ref="G45:H45"/>
    <mergeCell ref="I45:J45"/>
    <mergeCell ref="K45:L45"/>
    <mergeCell ref="I33:L33"/>
    <mergeCell ref="I22:J22"/>
    <mergeCell ref="J32:L32"/>
    <mergeCell ref="I26:L26"/>
    <mergeCell ref="K22:L22"/>
    <mergeCell ref="E33:F33"/>
    <mergeCell ref="C32:H32"/>
    <mergeCell ref="I7:L7"/>
    <mergeCell ref="C5:H5"/>
    <mergeCell ref="I5:L5"/>
    <mergeCell ref="J6:L6"/>
    <mergeCell ref="C6:H6"/>
    <mergeCell ref="E7:F7"/>
    <mergeCell ref="B57:H57"/>
    <mergeCell ref="I57:L57"/>
    <mergeCell ref="C44:H44"/>
    <mergeCell ref="C51:H51"/>
    <mergeCell ref="J51:L51"/>
    <mergeCell ref="C52:D52"/>
    <mergeCell ref="E52:F52"/>
    <mergeCell ref="G52:H52"/>
    <mergeCell ref="I52:J52"/>
    <mergeCell ref="K52:L52"/>
    <mergeCell ref="B50:H50"/>
    <mergeCell ref="I50:L50"/>
    <mergeCell ref="J44:L44"/>
    <mergeCell ref="C55:L55"/>
    <mergeCell ref="G56:H56"/>
    <mergeCell ref="I56:L56"/>
    <mergeCell ref="I41:L41"/>
    <mergeCell ref="C48:L48"/>
    <mergeCell ref="B37:L37"/>
    <mergeCell ref="C38:D38"/>
    <mergeCell ref="I38:L38"/>
    <mergeCell ref="I39:L39"/>
    <mergeCell ref="I40:L40"/>
    <mergeCell ref="B42:H42"/>
    <mergeCell ref="I42:L42"/>
  </mergeCells>
  <pageMargins left="0.70866141732283472" right="0.19685039370078741" top="0.43307086614173229" bottom="0.43307086614173229" header="0.31496062992125984" footer="0.31496062992125984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52"/>
  <sheetViews>
    <sheetView zoomScale="115" zoomScaleNormal="115" workbookViewId="0">
      <selection activeCell="I29" sqref="I29:L29"/>
    </sheetView>
  </sheetViews>
  <sheetFormatPr defaultRowHeight="15" x14ac:dyDescent="0.25"/>
  <cols>
    <col min="1" max="1" width="1" customWidth="1"/>
    <col min="2" max="2" width="24.42578125" customWidth="1"/>
    <col min="3" max="3" width="10.7109375" customWidth="1"/>
    <col min="4" max="4" width="4" style="1" bestFit="1" customWidth="1"/>
    <col min="5" max="5" width="10.7109375" customWidth="1"/>
    <col min="6" max="6" width="4" style="1" bestFit="1" customWidth="1"/>
    <col min="7" max="7" width="10.7109375" style="1" customWidth="1"/>
    <col min="8" max="8" width="5.7109375" style="1" customWidth="1"/>
    <col min="9" max="9" width="10.7109375" customWidth="1"/>
    <col min="10" max="10" width="4" style="1" bestFit="1" customWidth="1"/>
    <col min="11" max="11" width="10.7109375" customWidth="1"/>
    <col min="12" max="12" width="3.7109375" style="1" customWidth="1"/>
    <col min="13" max="13" width="1.85546875" customWidth="1"/>
    <col min="14" max="14" width="3" customWidth="1"/>
    <col min="15" max="15" width="27.140625" customWidth="1"/>
    <col min="16" max="16" width="6.5703125" customWidth="1"/>
    <col min="17" max="17" width="3.42578125" customWidth="1"/>
    <col min="18" max="18" width="9.7109375" customWidth="1"/>
  </cols>
  <sheetData>
    <row r="1" spans="2:18" x14ac:dyDescent="0.25">
      <c r="B1" s="62" t="str">
        <f ca="1">CONCATENATE(" bestandsnaam = ", MID(CELL("bestandsnaam",$C$32),SEARCH("[",CELL("bestandsnaam",$C$32),1)+1,SEARCH("]",CELL("bestandsnaam",$C$32),1)-2-SEARCH("[",CELL("bestandsnaam",$C$32),1)))</f>
        <v xml:space="preserve"> bestandsnaam = PB1_week3_meetnauwkeurigheid_v20150924_0900.xls</v>
      </c>
      <c r="L1" s="124" t="str">
        <f ca="1">MID(   CELL("bestandsnaam",$C$18),SEARCH("]",CELL("bestandsnaam",$C$18),1)+1,    99  )</f>
        <v>M2.1 R(U,I) met U over A en R</v>
      </c>
    </row>
    <row r="2" spans="2:18" x14ac:dyDescent="0.25">
      <c r="B2" s="62"/>
      <c r="L2" s="58"/>
      <c r="Q2" s="58"/>
    </row>
    <row r="3" spans="2:18" x14ac:dyDescent="0.25">
      <c r="B3" s="58" t="s">
        <v>57</v>
      </c>
      <c r="C3" s="65">
        <v>1</v>
      </c>
      <c r="D3" s="60" t="s">
        <v>5</v>
      </c>
      <c r="E3" t="s">
        <v>60</v>
      </c>
    </row>
    <row r="4" spans="2:18" ht="15.75" thickBot="1" x14ac:dyDescent="0.3">
      <c r="P4" s="58"/>
    </row>
    <row r="5" spans="2:18" ht="18.75" x14ac:dyDescent="0.3">
      <c r="B5" s="8" t="s">
        <v>0</v>
      </c>
      <c r="C5" s="108" t="s">
        <v>52</v>
      </c>
      <c r="D5" s="109"/>
      <c r="E5" s="109"/>
      <c r="F5" s="109"/>
      <c r="G5" s="109"/>
      <c r="H5" s="110"/>
      <c r="I5" s="111" t="s">
        <v>1</v>
      </c>
      <c r="J5" s="112"/>
      <c r="K5" s="112"/>
      <c r="L5" s="113"/>
      <c r="N5" s="132" t="s">
        <v>64</v>
      </c>
      <c r="O5" s="129"/>
      <c r="P5" s="129"/>
      <c r="Q5" s="129"/>
    </row>
    <row r="6" spans="2:18" x14ac:dyDescent="0.25">
      <c r="B6" s="9" t="s">
        <v>2</v>
      </c>
      <c r="C6" s="98" t="s">
        <v>3</v>
      </c>
      <c r="D6" s="99"/>
      <c r="E6" s="99"/>
      <c r="F6" s="99"/>
      <c r="G6" s="100"/>
      <c r="H6" s="93"/>
      <c r="I6" s="55" t="s">
        <v>4</v>
      </c>
      <c r="J6" s="101">
        <f ca="1">NOW()</f>
        <v>42271.45158483796</v>
      </c>
      <c r="K6" s="101"/>
      <c r="L6" s="102"/>
      <c r="N6" s="129"/>
      <c r="O6" s="128" t="s">
        <v>61</v>
      </c>
      <c r="P6" s="129">
        <v>5.75</v>
      </c>
      <c r="Q6" s="129"/>
      <c r="R6" s="127"/>
    </row>
    <row r="7" spans="2:18" x14ac:dyDescent="0.25">
      <c r="B7" s="10" t="s">
        <v>24</v>
      </c>
      <c r="C7" s="19">
        <v>30</v>
      </c>
      <c r="D7" s="2" t="s">
        <v>19</v>
      </c>
      <c r="E7" s="103" t="s">
        <v>26</v>
      </c>
      <c r="F7" s="104"/>
      <c r="G7" s="19">
        <f>POWER(10,TRUNC(LOG(C7,10))-5)</f>
        <v>1E-4</v>
      </c>
      <c r="H7" s="3" t="str">
        <f>D7</f>
        <v>V</v>
      </c>
      <c r="I7" s="79" t="s">
        <v>6</v>
      </c>
      <c r="J7" s="80"/>
      <c r="K7" s="80"/>
      <c r="L7" s="81"/>
      <c r="N7" s="129"/>
      <c r="O7" s="128" t="s">
        <v>63</v>
      </c>
      <c r="P7" s="129">
        <f>IF(C10&lt;IF((P6-TRUNC(P6))=0.75,3,IF((P6-TRUNC(P6))=0.5,2,10))*POWER(10,TRUNC(LOG(C7,10))),IF((P6-TRUNC(P6))=0.75,3,IF((P6-TRUNC(P6))=0.5,2,10))*POWER(10,TRUNC(LOG(C7,10))),IF((P6-TRUNC(P6))=0.75,3,IF((P6-TRUNC(P6))=0.5,2,10))*POWER(10,TRUNC(LOG(C7,10)))*10)</f>
        <v>30</v>
      </c>
      <c r="Q7" s="129" t="str">
        <f>D7</f>
        <v>V</v>
      </c>
      <c r="R7" s="127"/>
    </row>
    <row r="8" spans="2:18" x14ac:dyDescent="0.25">
      <c r="B8" s="105"/>
      <c r="C8" s="106"/>
      <c r="D8" s="106"/>
      <c r="E8" s="106"/>
      <c r="F8" s="106"/>
      <c r="G8" s="107"/>
      <c r="H8" s="107"/>
      <c r="I8" s="106"/>
      <c r="J8" s="106"/>
      <c r="K8" s="106"/>
      <c r="L8" s="97"/>
      <c r="Q8" s="61" t="str">
        <f>IF(AND(P7=30,Q7="mA"),"NB: ipv 30mA is ook 20mA mogelijk","")</f>
        <v/>
      </c>
      <c r="R8" s="127"/>
    </row>
    <row r="9" spans="2:18" x14ac:dyDescent="0.25">
      <c r="B9" s="11" t="s">
        <v>11</v>
      </c>
      <c r="C9" s="90" t="s">
        <v>23</v>
      </c>
      <c r="D9" s="91"/>
      <c r="E9" s="92" t="s">
        <v>13</v>
      </c>
      <c r="F9" s="93"/>
      <c r="G9" s="92" t="s">
        <v>14</v>
      </c>
      <c r="H9" s="93"/>
      <c r="I9" s="94" t="s">
        <v>15</v>
      </c>
      <c r="J9" s="95"/>
      <c r="K9" s="96" t="s">
        <v>16</v>
      </c>
      <c r="L9" s="97"/>
      <c r="N9" s="132" t="s">
        <v>65</v>
      </c>
      <c r="O9" s="129"/>
      <c r="P9" s="129"/>
      <c r="Q9" s="129"/>
      <c r="R9" s="127"/>
    </row>
    <row r="10" spans="2:18" ht="15.75" thickBot="1" x14ac:dyDescent="0.3">
      <c r="B10" s="26" t="s">
        <v>30</v>
      </c>
      <c r="C10" s="48">
        <v>19.050999999999998</v>
      </c>
      <c r="D10" s="13" t="str">
        <f>D7</f>
        <v>V</v>
      </c>
      <c r="E10" s="49">
        <f>ROUNDUP(SUM(E13:E15),P11)</f>
        <v>5.8999999999999999E-3</v>
      </c>
      <c r="F10" s="13" t="str">
        <f>D10</f>
        <v>V</v>
      </c>
      <c r="G10" s="14">
        <f>IF(ISNUMBER(C10),ROUNDUP(100*E10/C10,5),"-")</f>
        <v>3.0970000000000001E-2</v>
      </c>
      <c r="H10" s="15" t="s">
        <v>8</v>
      </c>
      <c r="I10" s="50">
        <f>C10-E10</f>
        <v>19.045099999999998</v>
      </c>
      <c r="J10" s="13" t="str">
        <f>D10</f>
        <v>V</v>
      </c>
      <c r="K10" s="50">
        <f>C10+E10</f>
        <v>19.056899999999999</v>
      </c>
      <c r="L10" s="17" t="str">
        <f>D10</f>
        <v>V</v>
      </c>
      <c r="N10" s="131" t="s">
        <v>67</v>
      </c>
      <c r="O10" s="130"/>
      <c r="P10" s="129"/>
      <c r="Q10" s="129"/>
      <c r="R10" s="127"/>
    </row>
    <row r="11" spans="2:18" ht="24.95" customHeight="1" x14ac:dyDescent="0.25">
      <c r="B11" s="74" t="s">
        <v>33</v>
      </c>
      <c r="C11" s="75"/>
      <c r="D11" s="75"/>
      <c r="E11" s="75"/>
      <c r="F11" s="75"/>
      <c r="G11" s="75"/>
      <c r="H11" s="75"/>
      <c r="I11" s="75"/>
      <c r="J11" s="75"/>
      <c r="K11" s="75"/>
      <c r="L11" s="76"/>
      <c r="N11" s="129"/>
      <c r="O11" s="133" t="s">
        <v>62</v>
      </c>
      <c r="P11" s="133">
        <f>TRUNC(P6)-TRUNC(LOG10(P7))</f>
        <v>4</v>
      </c>
      <c r="Q11" s="127"/>
      <c r="R11" s="127"/>
    </row>
    <row r="12" spans="2:18" x14ac:dyDescent="0.25">
      <c r="B12" s="11" t="s">
        <v>32</v>
      </c>
      <c r="C12" s="77" t="s">
        <v>12</v>
      </c>
      <c r="D12" s="78"/>
      <c r="E12" s="27" t="s">
        <v>13</v>
      </c>
      <c r="F12" s="28"/>
      <c r="G12" s="29" t="s">
        <v>14</v>
      </c>
      <c r="H12" s="28"/>
      <c r="I12" s="79" t="s">
        <v>27</v>
      </c>
      <c r="J12" s="80"/>
      <c r="K12" s="80"/>
      <c r="L12" s="81"/>
      <c r="N12" s="131" t="s">
        <v>66</v>
      </c>
      <c r="O12" s="130"/>
      <c r="P12" s="129"/>
    </row>
    <row r="13" spans="2:18" x14ac:dyDescent="0.25">
      <c r="B13" s="31" t="s">
        <v>7</v>
      </c>
      <c r="C13" s="56">
        <v>0.02</v>
      </c>
      <c r="D13" s="33" t="s">
        <v>8</v>
      </c>
      <c r="E13" s="34">
        <f>C10*C13/100</f>
        <v>3.8101999999999997E-3</v>
      </c>
      <c r="F13" s="35" t="str">
        <f>D7</f>
        <v>V</v>
      </c>
      <c r="G13" s="36">
        <f>IF(ISNUMBER(C13),100*E13/C10,"-")</f>
        <v>0.02</v>
      </c>
      <c r="H13" s="33" t="s">
        <v>8</v>
      </c>
      <c r="I13" s="82" t="s">
        <v>25</v>
      </c>
      <c r="J13" s="83"/>
      <c r="K13" s="83"/>
      <c r="L13" s="84"/>
      <c r="N13" s="129"/>
      <c r="O13" s="128" t="s">
        <v>62</v>
      </c>
      <c r="P13" s="128">
        <f>TRUNC(P6)-TRUNC(LOG10(P7))</f>
        <v>4</v>
      </c>
    </row>
    <row r="14" spans="2:18" x14ac:dyDescent="0.25">
      <c r="B14" s="31" t="s">
        <v>9</v>
      </c>
      <c r="C14" s="56">
        <v>5.0000000000000001E-3</v>
      </c>
      <c r="D14" s="33" t="s">
        <v>8</v>
      </c>
      <c r="E14" s="51">
        <f>C7*C14/100</f>
        <v>1.5E-3</v>
      </c>
      <c r="F14" s="35" t="str">
        <f>D7</f>
        <v>V</v>
      </c>
      <c r="G14" s="36">
        <f>IF(ISNUMBER(C14),100*E14/C10,"-")</f>
        <v>7.8736024355676865E-3</v>
      </c>
      <c r="H14" s="33" t="s">
        <v>8</v>
      </c>
      <c r="I14" s="82" t="s">
        <v>28</v>
      </c>
      <c r="J14" s="83"/>
      <c r="K14" s="83"/>
      <c r="L14" s="84"/>
      <c r="N14" s="131" t="s">
        <v>68</v>
      </c>
      <c r="O14" s="130"/>
      <c r="P14" s="129"/>
      <c r="Q14" s="129"/>
    </row>
    <row r="15" spans="2:18" ht="15.75" thickBot="1" x14ac:dyDescent="0.3">
      <c r="B15" s="37" t="s">
        <v>18</v>
      </c>
      <c r="C15" s="57">
        <v>5</v>
      </c>
      <c r="D15" s="39" t="s">
        <v>10</v>
      </c>
      <c r="E15" s="40">
        <f>G7*C15</f>
        <v>5.0000000000000001E-4</v>
      </c>
      <c r="F15" s="41" t="str">
        <f>D7</f>
        <v>V</v>
      </c>
      <c r="G15" s="42">
        <f>IF(ISNUMBER(C15),100*E15/C10,"-")</f>
        <v>2.6245341451892291E-3</v>
      </c>
      <c r="H15" s="39" t="s">
        <v>8</v>
      </c>
      <c r="I15" s="85" t="s">
        <v>29</v>
      </c>
      <c r="J15" s="86"/>
      <c r="K15" s="86"/>
      <c r="L15" s="87"/>
      <c r="N15" s="129"/>
      <c r="O15" s="128" t="s">
        <v>62</v>
      </c>
      <c r="P15" s="128">
        <v>5</v>
      </c>
      <c r="Q15" s="127"/>
    </row>
    <row r="16" spans="2:18" ht="30" customHeight="1" x14ac:dyDescent="0.25">
      <c r="B16" s="67" t="s">
        <v>34</v>
      </c>
      <c r="C16" s="68"/>
      <c r="D16" s="68"/>
      <c r="E16" s="68"/>
      <c r="F16" s="68"/>
      <c r="G16" s="68"/>
      <c r="H16" s="68"/>
      <c r="I16" s="69" t="str">
        <f ca="1">CONCATENATE(" versie: ",   MID(   CELL("bestandsnaam",$C$32),SEARCH("v20",CELL("bestandsnaam",$C$32),1)+1,    13   )   )</f>
        <v xml:space="preserve"> versie: 20150924_0900</v>
      </c>
      <c r="J16" s="70"/>
      <c r="K16" s="70"/>
      <c r="L16" s="70"/>
    </row>
    <row r="17" spans="2:17" ht="15.75" thickBot="1" x14ac:dyDescent="0.3"/>
    <row r="18" spans="2:17" ht="18.75" x14ac:dyDescent="0.3">
      <c r="B18" s="8" t="s">
        <v>0</v>
      </c>
      <c r="C18" s="108" t="s">
        <v>53</v>
      </c>
      <c r="D18" s="109"/>
      <c r="E18" s="109"/>
      <c r="F18" s="109"/>
      <c r="G18" s="109"/>
      <c r="H18" s="110"/>
      <c r="I18" s="111" t="s">
        <v>1</v>
      </c>
      <c r="J18" s="112"/>
      <c r="K18" s="112"/>
      <c r="L18" s="113"/>
      <c r="N18" s="132" t="s">
        <v>64</v>
      </c>
      <c r="O18" s="129"/>
      <c r="P18" s="129"/>
      <c r="Q18" s="129"/>
    </row>
    <row r="19" spans="2:17" x14ac:dyDescent="0.25">
      <c r="B19" s="9" t="s">
        <v>2</v>
      </c>
      <c r="C19" s="98" t="s">
        <v>3</v>
      </c>
      <c r="D19" s="99"/>
      <c r="E19" s="99"/>
      <c r="F19" s="99"/>
      <c r="G19" s="100"/>
      <c r="H19" s="93"/>
      <c r="I19" s="55" t="s">
        <v>4</v>
      </c>
      <c r="J19" s="101">
        <f ca="1">NOW()</f>
        <v>42271.45158483796</v>
      </c>
      <c r="K19" s="101"/>
      <c r="L19" s="102"/>
      <c r="N19" s="129"/>
      <c r="O19" s="128" t="s">
        <v>61</v>
      </c>
      <c r="P19" s="129">
        <v>5.75</v>
      </c>
      <c r="Q19" s="129"/>
    </row>
    <row r="20" spans="2:17" x14ac:dyDescent="0.25">
      <c r="B20" s="10" t="s">
        <v>24</v>
      </c>
      <c r="C20" s="19">
        <v>20</v>
      </c>
      <c r="D20" s="2" t="s">
        <v>42</v>
      </c>
      <c r="E20" s="103" t="s">
        <v>26</v>
      </c>
      <c r="F20" s="104"/>
      <c r="G20" s="19">
        <f>POWER(10,TRUNC(LOG(C20,10))-5)</f>
        <v>1E-4</v>
      </c>
      <c r="H20" s="3" t="str">
        <f>D20</f>
        <v>mA</v>
      </c>
      <c r="I20" s="79" t="s">
        <v>6</v>
      </c>
      <c r="J20" s="80"/>
      <c r="K20" s="80"/>
      <c r="L20" s="81"/>
      <c r="N20" s="129"/>
      <c r="O20" s="128" t="s">
        <v>63</v>
      </c>
      <c r="P20" s="129">
        <f>IF(C23&lt;IF((P19-TRUNC(P19))=0.75,3,IF((P19-TRUNC(P19))=0.5,2,10))*POWER(10,TRUNC(LOG(C20,10))),IF((P19-TRUNC(P19))=0.75,3,IF((P19-TRUNC(P19))=0.5,2,10))*POWER(10,TRUNC(LOG(C20,10))),IF((P19-TRUNC(P19))=0.75,3,IF((P19-TRUNC(P19))=0.5,2,10))*POWER(10,TRUNC(LOG(C20,10)))*10)</f>
        <v>30</v>
      </c>
      <c r="Q20" s="129" t="str">
        <f>D20</f>
        <v>mA</v>
      </c>
    </row>
    <row r="21" spans="2:17" x14ac:dyDescent="0.25">
      <c r="B21" s="105"/>
      <c r="C21" s="106"/>
      <c r="D21" s="106"/>
      <c r="E21" s="106"/>
      <c r="F21" s="106"/>
      <c r="G21" s="107"/>
      <c r="H21" s="107"/>
      <c r="I21" s="106"/>
      <c r="J21" s="106"/>
      <c r="K21" s="106"/>
      <c r="L21" s="97"/>
      <c r="Q21" s="61" t="str">
        <f>IF(AND(P20=30,Q20="mA"),"NB: ipv 30mA is ook 20mA mogelijk","")</f>
        <v>NB: ipv 30mA is ook 20mA mogelijk</v>
      </c>
    </row>
    <row r="22" spans="2:17" x14ac:dyDescent="0.25">
      <c r="B22" s="11" t="s">
        <v>11</v>
      </c>
      <c r="C22" s="90" t="s">
        <v>23</v>
      </c>
      <c r="D22" s="91"/>
      <c r="E22" s="92" t="s">
        <v>13</v>
      </c>
      <c r="F22" s="93"/>
      <c r="G22" s="92" t="s">
        <v>14</v>
      </c>
      <c r="H22" s="93"/>
      <c r="I22" s="94" t="s">
        <v>15</v>
      </c>
      <c r="J22" s="95"/>
      <c r="K22" s="96" t="s">
        <v>16</v>
      </c>
      <c r="L22" s="97"/>
      <c r="N22" s="132" t="s">
        <v>65</v>
      </c>
      <c r="O22" s="129"/>
      <c r="P22" s="129"/>
      <c r="Q22" s="129"/>
    </row>
    <row r="23" spans="2:17" ht="15.75" thickBot="1" x14ac:dyDescent="0.3">
      <c r="B23" s="26" t="s">
        <v>30</v>
      </c>
      <c r="C23" s="48">
        <v>19.465599999999998</v>
      </c>
      <c r="D23" s="13" t="str">
        <f>D20</f>
        <v>mA</v>
      </c>
      <c r="E23" s="49">
        <f>ROUNDUP(SUM(E26:E28),P24)</f>
        <v>6.4000000000000003E-3</v>
      </c>
      <c r="F23" s="13" t="str">
        <f>D23</f>
        <v>mA</v>
      </c>
      <c r="G23" s="14">
        <f>IF(ISNUMBER(C23),100*E23/C23,"-")</f>
        <v>3.287851389117212E-2</v>
      </c>
      <c r="H23" s="15" t="s">
        <v>8</v>
      </c>
      <c r="I23" s="50">
        <f>C23-E23</f>
        <v>19.459199999999999</v>
      </c>
      <c r="J23" s="13" t="str">
        <f>D23</f>
        <v>mA</v>
      </c>
      <c r="K23" s="50">
        <f>C23+E23</f>
        <v>19.471999999999998</v>
      </c>
      <c r="L23" s="17" t="str">
        <f>D23</f>
        <v>mA</v>
      </c>
      <c r="N23" s="131" t="s">
        <v>67</v>
      </c>
      <c r="O23" s="130"/>
      <c r="P23" s="129"/>
      <c r="Q23" s="129"/>
    </row>
    <row r="24" spans="2:17" ht="24.95" customHeight="1" x14ac:dyDescent="0.25">
      <c r="B24" s="74" t="s">
        <v>33</v>
      </c>
      <c r="C24" s="75"/>
      <c r="D24" s="75"/>
      <c r="E24" s="75"/>
      <c r="F24" s="75"/>
      <c r="G24" s="75"/>
      <c r="H24" s="75"/>
      <c r="I24" s="75"/>
      <c r="J24" s="75"/>
      <c r="K24" s="75"/>
      <c r="L24" s="76"/>
      <c r="N24" s="129"/>
      <c r="O24" s="133" t="s">
        <v>62</v>
      </c>
      <c r="P24" s="133">
        <f>TRUNC(P19)-TRUNC(LOG10(P20))</f>
        <v>4</v>
      </c>
      <c r="Q24" s="127"/>
    </row>
    <row r="25" spans="2:17" x14ac:dyDescent="0.25">
      <c r="B25" s="11" t="s">
        <v>32</v>
      </c>
      <c r="C25" s="77" t="s">
        <v>12</v>
      </c>
      <c r="D25" s="78"/>
      <c r="E25" s="27" t="s">
        <v>13</v>
      </c>
      <c r="F25" s="28"/>
      <c r="G25" s="29" t="s">
        <v>14</v>
      </c>
      <c r="H25" s="28"/>
      <c r="I25" s="79" t="s">
        <v>27</v>
      </c>
      <c r="J25" s="80"/>
      <c r="K25" s="80"/>
      <c r="L25" s="81"/>
      <c r="N25" s="131" t="s">
        <v>66</v>
      </c>
      <c r="O25" s="130"/>
      <c r="P25" s="129"/>
    </row>
    <row r="26" spans="2:17" x14ac:dyDescent="0.25">
      <c r="B26" s="31" t="s">
        <v>7</v>
      </c>
      <c r="C26" s="56">
        <v>0.02</v>
      </c>
      <c r="D26" s="33" t="s">
        <v>8</v>
      </c>
      <c r="E26" s="125">
        <f>C23*C26/100</f>
        <v>3.8931199999999999E-3</v>
      </c>
      <c r="F26" s="35" t="str">
        <f>D20</f>
        <v>mA</v>
      </c>
      <c r="G26" s="36">
        <f>IF(ISNUMBER(C26),100*E26/C23,"-")</f>
        <v>0.02</v>
      </c>
      <c r="H26" s="33" t="s">
        <v>8</v>
      </c>
      <c r="I26" s="82" t="s">
        <v>25</v>
      </c>
      <c r="J26" s="83"/>
      <c r="K26" s="83"/>
      <c r="L26" s="84"/>
      <c r="N26" s="129"/>
      <c r="O26" s="128" t="s">
        <v>62</v>
      </c>
      <c r="P26" s="128">
        <f>TRUNC(P19)-TRUNC(LOG10(P20))</f>
        <v>4</v>
      </c>
    </row>
    <row r="27" spans="2:17" x14ac:dyDescent="0.25">
      <c r="B27" s="31" t="s">
        <v>9</v>
      </c>
      <c r="C27" s="56">
        <v>0.01</v>
      </c>
      <c r="D27" s="33" t="s">
        <v>8</v>
      </c>
      <c r="E27" s="54">
        <f>C20*C27/100</f>
        <v>2E-3</v>
      </c>
      <c r="F27" s="35" t="str">
        <f>D20</f>
        <v>mA</v>
      </c>
      <c r="G27" s="36">
        <f>IF(ISNUMBER(C27),100*E27/C23,"-")</f>
        <v>1.0274535590991288E-2</v>
      </c>
      <c r="H27" s="33" t="s">
        <v>8</v>
      </c>
      <c r="I27" s="82" t="s">
        <v>28</v>
      </c>
      <c r="J27" s="83"/>
      <c r="K27" s="83"/>
      <c r="L27" s="84"/>
      <c r="N27" s="131" t="s">
        <v>68</v>
      </c>
      <c r="O27" s="130"/>
      <c r="P27" s="129"/>
      <c r="Q27" s="129"/>
    </row>
    <row r="28" spans="2:17" ht="15.75" thickBot="1" x14ac:dyDescent="0.3">
      <c r="B28" s="37" t="s">
        <v>18</v>
      </c>
      <c r="C28" s="57">
        <v>5</v>
      </c>
      <c r="D28" s="39" t="s">
        <v>10</v>
      </c>
      <c r="E28" s="126">
        <f>G20*C28</f>
        <v>5.0000000000000001E-4</v>
      </c>
      <c r="F28" s="41" t="str">
        <f>D20</f>
        <v>mA</v>
      </c>
      <c r="G28" s="42">
        <f>IF(ISNUMBER(C28),100*E28/C23,"-")</f>
        <v>2.5686338977478221E-3</v>
      </c>
      <c r="H28" s="39" t="s">
        <v>8</v>
      </c>
      <c r="I28" s="85" t="s">
        <v>29</v>
      </c>
      <c r="J28" s="86"/>
      <c r="K28" s="86"/>
      <c r="L28" s="87"/>
      <c r="N28" s="129"/>
      <c r="O28" s="128" t="s">
        <v>62</v>
      </c>
      <c r="P28" s="128">
        <v>5</v>
      </c>
      <c r="Q28" s="127"/>
    </row>
    <row r="29" spans="2:17" ht="30" customHeight="1" x14ac:dyDescent="0.25">
      <c r="B29" s="67" t="s">
        <v>34</v>
      </c>
      <c r="C29" s="68"/>
      <c r="D29" s="68"/>
      <c r="E29" s="68"/>
      <c r="F29" s="68"/>
      <c r="G29" s="68"/>
      <c r="H29" s="68"/>
      <c r="I29" s="69" t="str">
        <f ca="1">CONCATENATE(" versie: ",   MID(   CELL("bestandsnaam",$C$32),SEARCH("v20",CELL("bestandsnaam",$C$32),1)+1,    13   )   )</f>
        <v xml:space="preserve"> versie: 20150924_0900</v>
      </c>
      <c r="J29" s="70"/>
      <c r="K29" s="70"/>
      <c r="L29" s="70"/>
    </row>
    <row r="30" spans="2:17" ht="15.75" thickBot="1" x14ac:dyDescent="0.3"/>
    <row r="31" spans="2:17" ht="18.75" x14ac:dyDescent="0.3">
      <c r="B31" s="8" t="s">
        <v>0</v>
      </c>
      <c r="C31" s="108" t="s">
        <v>35</v>
      </c>
      <c r="D31" s="109"/>
      <c r="E31" s="109"/>
      <c r="F31" s="109"/>
      <c r="G31" s="109"/>
      <c r="H31" s="110"/>
      <c r="I31" s="111" t="s">
        <v>1</v>
      </c>
      <c r="J31" s="112"/>
      <c r="K31" s="112"/>
      <c r="L31" s="113"/>
      <c r="N31" s="132" t="s">
        <v>64</v>
      </c>
      <c r="O31" s="129"/>
      <c r="P31" s="129"/>
      <c r="Q31" s="129"/>
    </row>
    <row r="32" spans="2:17" x14ac:dyDescent="0.25">
      <c r="B32" s="9" t="s">
        <v>2</v>
      </c>
      <c r="C32" s="98" t="s">
        <v>3</v>
      </c>
      <c r="D32" s="99"/>
      <c r="E32" s="99"/>
      <c r="F32" s="99"/>
      <c r="G32" s="100"/>
      <c r="H32" s="93"/>
      <c r="I32" s="55" t="s">
        <v>4</v>
      </c>
      <c r="J32" s="101">
        <f ca="1">NOW()</f>
        <v>42271.45158483796</v>
      </c>
      <c r="K32" s="101"/>
      <c r="L32" s="102"/>
      <c r="N32" s="129"/>
      <c r="O32" s="128" t="s">
        <v>61</v>
      </c>
      <c r="P32" s="129">
        <v>5.75</v>
      </c>
      <c r="Q32" s="129"/>
    </row>
    <row r="33" spans="2:17" x14ac:dyDescent="0.25">
      <c r="B33" s="10" t="s">
        <v>24</v>
      </c>
      <c r="C33" s="19">
        <v>3000</v>
      </c>
      <c r="D33" s="2" t="s">
        <v>5</v>
      </c>
      <c r="E33" s="103" t="s">
        <v>26</v>
      </c>
      <c r="F33" s="104"/>
      <c r="G33" s="19">
        <f>POWER(10,TRUNC(LOG(C33,10))-5)</f>
        <v>0.01</v>
      </c>
      <c r="H33" s="3" t="str">
        <f>D33</f>
        <v>Ω</v>
      </c>
      <c r="I33" s="79" t="s">
        <v>6</v>
      </c>
      <c r="J33" s="80"/>
      <c r="K33" s="80"/>
      <c r="L33" s="81"/>
      <c r="N33" s="129"/>
      <c r="O33" s="128" t="s">
        <v>63</v>
      </c>
      <c r="P33" s="129">
        <f>IF(C36&lt;IF((P32-TRUNC(P32))=0.75,3,IF((P32-TRUNC(P32))=0.5,2,10))*POWER(10,TRUNC(LOG(C33,10))),IF((P32-TRUNC(P32))=0.75,3,IF((P32-TRUNC(P32))=0.5,2,10))*POWER(10,TRUNC(LOG(C33,10))),IF((P32-TRUNC(P32))=0.75,3,IF((P32-TRUNC(P32))=0.5,2,10))*POWER(10,TRUNC(LOG(C33,10)))*10)</f>
        <v>3000</v>
      </c>
      <c r="Q33" s="129" t="str">
        <f>D33</f>
        <v>Ω</v>
      </c>
    </row>
    <row r="34" spans="2:17" x14ac:dyDescent="0.25">
      <c r="B34" s="105"/>
      <c r="C34" s="106"/>
      <c r="D34" s="106"/>
      <c r="E34" s="106"/>
      <c r="F34" s="106"/>
      <c r="G34" s="107"/>
      <c r="H34" s="107"/>
      <c r="I34" s="106"/>
      <c r="J34" s="106"/>
      <c r="K34" s="106"/>
      <c r="L34" s="97"/>
      <c r="Q34" s="61" t="str">
        <f>IF(AND(P33=30,Q33="mA"),"NB: ipv 30mA is ook 20mA mogelijk","")</f>
        <v/>
      </c>
    </row>
    <row r="35" spans="2:17" x14ac:dyDescent="0.25">
      <c r="B35" s="11" t="s">
        <v>11</v>
      </c>
      <c r="C35" s="90" t="s">
        <v>23</v>
      </c>
      <c r="D35" s="91"/>
      <c r="E35" s="92" t="s">
        <v>13</v>
      </c>
      <c r="F35" s="93"/>
      <c r="G35" s="92" t="s">
        <v>14</v>
      </c>
      <c r="H35" s="93"/>
      <c r="I35" s="94" t="s">
        <v>15</v>
      </c>
      <c r="J35" s="95"/>
      <c r="K35" s="96" t="s">
        <v>16</v>
      </c>
      <c r="L35" s="97"/>
      <c r="N35" s="132" t="s">
        <v>65</v>
      </c>
      <c r="O35" s="129"/>
      <c r="P35" s="129"/>
      <c r="Q35" s="129"/>
    </row>
    <row r="36" spans="2:17" ht="15.75" thickBot="1" x14ac:dyDescent="0.3">
      <c r="B36" s="26" t="s">
        <v>30</v>
      </c>
      <c r="C36" s="20">
        <v>978.6</v>
      </c>
      <c r="D36" s="13" t="str">
        <f>D33</f>
        <v>Ω</v>
      </c>
      <c r="E36" s="12">
        <f>ROUNDUP(SUM(E39:E41),P37)</f>
        <v>0.84</v>
      </c>
      <c r="F36" s="13" t="str">
        <f>D36</f>
        <v>Ω</v>
      </c>
      <c r="G36" s="14">
        <f>IF(ISNUMBER(C36),100*E36/C36,"-")</f>
        <v>8.5836909871244635E-2</v>
      </c>
      <c r="H36" s="15" t="s">
        <v>8</v>
      </c>
      <c r="I36" s="16">
        <f>C36-E36</f>
        <v>977.76</v>
      </c>
      <c r="J36" s="13" t="str">
        <f>D36</f>
        <v>Ω</v>
      </c>
      <c r="K36" s="16">
        <f>C36+E36</f>
        <v>979.44</v>
      </c>
      <c r="L36" s="17" t="str">
        <f>D36</f>
        <v>Ω</v>
      </c>
      <c r="N36" s="131" t="s">
        <v>67</v>
      </c>
      <c r="O36" s="130"/>
      <c r="P36" s="129"/>
      <c r="Q36" s="129"/>
    </row>
    <row r="37" spans="2:17" ht="24.95" customHeight="1" x14ac:dyDescent="0.25">
      <c r="B37" s="74" t="s">
        <v>33</v>
      </c>
      <c r="C37" s="75"/>
      <c r="D37" s="75"/>
      <c r="E37" s="75"/>
      <c r="F37" s="75"/>
      <c r="G37" s="75"/>
      <c r="H37" s="75"/>
      <c r="I37" s="75"/>
      <c r="J37" s="75"/>
      <c r="K37" s="75"/>
      <c r="L37" s="76"/>
      <c r="N37" s="129"/>
      <c r="O37" s="133" t="s">
        <v>62</v>
      </c>
      <c r="P37" s="133">
        <f>TRUNC(P32)-TRUNC(LOG10(P33))</f>
        <v>2</v>
      </c>
      <c r="Q37" s="127"/>
    </row>
    <row r="38" spans="2:17" x14ac:dyDescent="0.25">
      <c r="B38" s="11" t="s">
        <v>32</v>
      </c>
      <c r="C38" s="77" t="s">
        <v>12</v>
      </c>
      <c r="D38" s="78"/>
      <c r="E38" s="27" t="s">
        <v>13</v>
      </c>
      <c r="F38" s="28"/>
      <c r="G38" s="29" t="s">
        <v>14</v>
      </c>
      <c r="H38" s="28"/>
      <c r="I38" s="79" t="s">
        <v>27</v>
      </c>
      <c r="J38" s="80"/>
      <c r="K38" s="80"/>
      <c r="L38" s="81"/>
      <c r="N38" s="131" t="s">
        <v>66</v>
      </c>
      <c r="O38" s="130"/>
      <c r="P38" s="129"/>
    </row>
    <row r="39" spans="2:17" x14ac:dyDescent="0.25">
      <c r="B39" s="31" t="s">
        <v>7</v>
      </c>
      <c r="C39" s="56">
        <v>0.05</v>
      </c>
      <c r="D39" s="33" t="s">
        <v>8</v>
      </c>
      <c r="E39" s="47">
        <f>C36*C39/100</f>
        <v>0.48930000000000007</v>
      </c>
      <c r="F39" s="35" t="str">
        <f>D33</f>
        <v>Ω</v>
      </c>
      <c r="G39" s="36">
        <f>IF(ISNUMBER(C39),100*E39/C36,"-")</f>
        <v>0.05</v>
      </c>
      <c r="H39" s="33" t="s">
        <v>8</v>
      </c>
      <c r="I39" s="82" t="s">
        <v>25</v>
      </c>
      <c r="J39" s="83"/>
      <c r="K39" s="83"/>
      <c r="L39" s="84"/>
      <c r="N39" s="129"/>
      <c r="O39" s="128" t="s">
        <v>62</v>
      </c>
      <c r="P39" s="128">
        <f>TRUNC(P32)-TRUNC(LOG10(P33))</f>
        <v>2</v>
      </c>
    </row>
    <row r="40" spans="2:17" x14ac:dyDescent="0.25">
      <c r="B40" s="31" t="s">
        <v>9</v>
      </c>
      <c r="C40" s="56">
        <v>0.01</v>
      </c>
      <c r="D40" s="33" t="s">
        <v>8</v>
      </c>
      <c r="E40" s="47">
        <f>C33*C40/100</f>
        <v>0.3</v>
      </c>
      <c r="F40" s="35" t="str">
        <f>D33</f>
        <v>Ω</v>
      </c>
      <c r="G40" s="36">
        <f>IF(ISNUMBER(C40),100*E40/C36,"-")</f>
        <v>3.0656039239730225E-2</v>
      </c>
      <c r="H40" s="33" t="s">
        <v>8</v>
      </c>
      <c r="I40" s="82" t="s">
        <v>28</v>
      </c>
      <c r="J40" s="83"/>
      <c r="K40" s="83"/>
      <c r="L40" s="84"/>
      <c r="N40" s="131" t="s">
        <v>68</v>
      </c>
      <c r="O40" s="130"/>
      <c r="P40" s="129"/>
      <c r="Q40" s="129"/>
    </row>
    <row r="41" spans="2:17" ht="15.75" thickBot="1" x14ac:dyDescent="0.3">
      <c r="B41" s="37" t="s">
        <v>18</v>
      </c>
      <c r="C41" s="57">
        <v>5</v>
      </c>
      <c r="D41" s="39" t="s">
        <v>10</v>
      </c>
      <c r="E41" s="47">
        <f>G33*C41</f>
        <v>0.05</v>
      </c>
      <c r="F41" s="41" t="str">
        <f>D33</f>
        <v>Ω</v>
      </c>
      <c r="G41" s="42">
        <f>IF(ISNUMBER(C41),100*E41/C36,"-")</f>
        <v>5.1093398732883714E-3</v>
      </c>
      <c r="H41" s="39" t="s">
        <v>8</v>
      </c>
      <c r="I41" s="85" t="s">
        <v>29</v>
      </c>
      <c r="J41" s="86"/>
      <c r="K41" s="86"/>
      <c r="L41" s="87"/>
      <c r="N41" s="129"/>
      <c r="O41" s="128" t="s">
        <v>62</v>
      </c>
      <c r="P41" s="128">
        <v>5</v>
      </c>
      <c r="Q41" s="127"/>
    </row>
    <row r="42" spans="2:17" s="30" customFormat="1" ht="24.95" customHeight="1" x14ac:dyDescent="0.25">
      <c r="B42" s="67" t="s">
        <v>34</v>
      </c>
      <c r="C42" s="68"/>
      <c r="D42" s="68"/>
      <c r="E42" s="68"/>
      <c r="F42" s="68"/>
      <c r="G42" s="68"/>
      <c r="H42" s="68"/>
      <c r="I42" s="69" t="str">
        <f ca="1">CONCATENATE(" versie: ",   MID(   CELL("bestandsnaam",$C$18),SEARCH("v20",CELL("bestandsnaam",$C$18),1)+1,    13   )   )</f>
        <v xml:space="preserve"> versie: 20150924_0900</v>
      </c>
      <c r="J42" s="70"/>
      <c r="K42" s="70"/>
      <c r="L42" s="70"/>
    </row>
    <row r="43" spans="2:17" ht="15.75" thickBot="1" x14ac:dyDescent="0.3"/>
    <row r="44" spans="2:17" ht="15.75" x14ac:dyDescent="0.25">
      <c r="B44" s="52" t="s">
        <v>38</v>
      </c>
      <c r="C44" s="71" t="s">
        <v>48</v>
      </c>
      <c r="D44" s="72"/>
      <c r="E44" s="72"/>
      <c r="F44" s="72"/>
      <c r="G44" s="72"/>
      <c r="H44" s="73"/>
      <c r="I44" s="25" t="s">
        <v>4</v>
      </c>
      <c r="J44" s="88">
        <f ca="1">NOW()</f>
        <v>42271.45158483796</v>
      </c>
      <c r="K44" s="88"/>
      <c r="L44" s="89"/>
      <c r="N44" s="132" t="s">
        <v>69</v>
      </c>
      <c r="O44" s="129"/>
      <c r="P44" s="129"/>
      <c r="Q44" s="129"/>
    </row>
    <row r="45" spans="2:17" x14ac:dyDescent="0.25">
      <c r="B45" s="11" t="s">
        <v>20</v>
      </c>
      <c r="C45" s="90" t="s">
        <v>12</v>
      </c>
      <c r="D45" s="91"/>
      <c r="E45" s="90" t="s">
        <v>13</v>
      </c>
      <c r="F45" s="91"/>
      <c r="G45" s="90" t="s">
        <v>14</v>
      </c>
      <c r="H45" s="91"/>
      <c r="I45" s="114" t="s">
        <v>15</v>
      </c>
      <c r="J45" s="115"/>
      <c r="K45" s="116" t="s">
        <v>16</v>
      </c>
      <c r="L45" s="117"/>
      <c r="N45" s="131" t="s">
        <v>67</v>
      </c>
      <c r="O45" s="130"/>
      <c r="P45" s="129"/>
      <c r="Q45" s="129"/>
    </row>
    <row r="46" spans="2:17" x14ac:dyDescent="0.25">
      <c r="B46" s="21" t="s">
        <v>49</v>
      </c>
      <c r="C46" s="64">
        <f>ROUND((C10-C23/1000*C3)/C23*1000,P37)</f>
        <v>977.7</v>
      </c>
      <c r="D46" s="2" t="s">
        <v>5</v>
      </c>
      <c r="E46" s="53">
        <f>ROUNDUP(C46*G46/100,P37)</f>
        <v>0.63</v>
      </c>
      <c r="F46" s="3" t="str">
        <f>D46</f>
        <v>Ω</v>
      </c>
      <c r="G46" s="5">
        <f>G10+G23</f>
        <v>6.3848513891172118E-2</v>
      </c>
      <c r="H46" s="4" t="s">
        <v>8</v>
      </c>
      <c r="I46" s="53">
        <f>C46-E46</f>
        <v>977.07</v>
      </c>
      <c r="J46" s="3" t="str">
        <f>D46</f>
        <v>Ω</v>
      </c>
      <c r="K46" s="53">
        <f>C46+E46</f>
        <v>978.33</v>
      </c>
      <c r="L46" s="22" t="str">
        <f>D46</f>
        <v>Ω</v>
      </c>
      <c r="N46" s="129"/>
      <c r="O46" s="133" t="s">
        <v>62</v>
      </c>
      <c r="P46" s="133">
        <v>4</v>
      </c>
      <c r="Q46" s="127"/>
    </row>
    <row r="47" spans="2:17" x14ac:dyDescent="0.25">
      <c r="B47" s="21" t="s">
        <v>50</v>
      </c>
      <c r="C47" s="53">
        <f>C36</f>
        <v>978.6</v>
      </c>
      <c r="D47" s="3" t="str">
        <f>D46</f>
        <v>Ω</v>
      </c>
      <c r="E47" s="53">
        <f>ROUNDUP(C47*G47/100,P37)</f>
        <v>0.84</v>
      </c>
      <c r="F47" s="3" t="str">
        <f>D47</f>
        <v>Ω</v>
      </c>
      <c r="G47" s="5">
        <f>G36</f>
        <v>8.5836909871244635E-2</v>
      </c>
      <c r="H47" s="4" t="s">
        <v>8</v>
      </c>
      <c r="I47" s="53">
        <f>C47-E47</f>
        <v>977.76</v>
      </c>
      <c r="J47" s="3" t="str">
        <f>D47</f>
        <v>Ω</v>
      </c>
      <c r="K47" s="53">
        <f>C47+E47</f>
        <v>979.44</v>
      </c>
      <c r="L47" s="22" t="str">
        <f>D47</f>
        <v>Ω</v>
      </c>
      <c r="N47" s="131" t="s">
        <v>66</v>
      </c>
      <c r="O47" s="130"/>
      <c r="P47" s="129"/>
    </row>
    <row r="48" spans="2:17" x14ac:dyDescent="0.25">
      <c r="B48" s="11" t="s">
        <v>21</v>
      </c>
      <c r="C48" s="118"/>
      <c r="D48" s="106"/>
      <c r="E48" s="106"/>
      <c r="F48" s="106"/>
      <c r="G48" s="106"/>
      <c r="H48" s="106"/>
      <c r="I48" s="106"/>
      <c r="J48" s="106"/>
      <c r="K48" s="106"/>
      <c r="L48" s="97"/>
      <c r="N48" s="129"/>
      <c r="O48" s="128" t="s">
        <v>62</v>
      </c>
      <c r="P48" s="128">
        <v>4</v>
      </c>
    </row>
    <row r="49" spans="2:17" ht="15.75" thickBot="1" x14ac:dyDescent="0.3">
      <c r="B49" s="23" t="s">
        <v>51</v>
      </c>
      <c r="C49" s="12">
        <f>MIN(K46:K47)-MAX(I46:I47)</f>
        <v>0.57000000000005002</v>
      </c>
      <c r="D49" s="13" t="str">
        <f>D47</f>
        <v>Ω</v>
      </c>
      <c r="E49" s="66">
        <f>IF(C49&gt;0,100*C49/(2*MIN(E46,E47))," no overlap! ")</f>
        <v>45.238095238099206</v>
      </c>
      <c r="F49" s="13" t="str">
        <f>IF(C49&gt;0,"%","")</f>
        <v>%</v>
      </c>
      <c r="G49" s="119" t="s">
        <v>22</v>
      </c>
      <c r="H49" s="120"/>
      <c r="I49" s="121" t="str">
        <f>IF(F49="%", IF(E49&gt;=50,"geldige meting !","matige meting"),"meting over doen?")</f>
        <v>matige meting</v>
      </c>
      <c r="J49" s="122"/>
      <c r="K49" s="122"/>
      <c r="L49" s="123"/>
      <c r="N49" s="131" t="s">
        <v>68</v>
      </c>
      <c r="O49" s="130"/>
      <c r="P49" s="129"/>
      <c r="Q49" s="129"/>
    </row>
    <row r="50" spans="2:17" ht="30" customHeight="1" x14ac:dyDescent="0.25">
      <c r="B50" s="67" t="s">
        <v>34</v>
      </c>
      <c r="C50" s="68"/>
      <c r="D50" s="68"/>
      <c r="E50" s="68"/>
      <c r="F50" s="68"/>
      <c r="G50" s="68"/>
      <c r="H50" s="68"/>
      <c r="I50" s="69" t="str">
        <f ca="1">CONCATENATE(" versie: ",   MID(   CELL("bestandsnaam",$C$32),SEARCH("v20",CELL("bestandsnaam",$C$32),1)+1,    13   )   )</f>
        <v xml:space="preserve"> versie: 20150924_0900</v>
      </c>
      <c r="J50" s="70"/>
      <c r="K50" s="70"/>
      <c r="L50" s="70"/>
      <c r="N50" s="129"/>
      <c r="O50" s="133" t="s">
        <v>62</v>
      </c>
      <c r="P50" s="133">
        <v>5</v>
      </c>
      <c r="Q50" s="127"/>
    </row>
    <row r="51" spans="2:17" x14ac:dyDescent="0.25">
      <c r="N51" s="62" t="s">
        <v>71</v>
      </c>
    </row>
    <row r="52" spans="2:17" x14ac:dyDescent="0.25">
      <c r="N52" s="129"/>
      <c r="O52" s="134" t="s">
        <v>70</v>
      </c>
      <c r="P52" s="133"/>
    </row>
  </sheetData>
  <mergeCells count="72">
    <mergeCell ref="I35:J35"/>
    <mergeCell ref="K35:L35"/>
    <mergeCell ref="C31:H31"/>
    <mergeCell ref="I31:L31"/>
    <mergeCell ref="C32:H32"/>
    <mergeCell ref="J32:L32"/>
    <mergeCell ref="E33:F33"/>
    <mergeCell ref="I33:L33"/>
    <mergeCell ref="B42:H42"/>
    <mergeCell ref="I42:L42"/>
    <mergeCell ref="C18:H18"/>
    <mergeCell ref="I18:L18"/>
    <mergeCell ref="C19:H19"/>
    <mergeCell ref="J19:L19"/>
    <mergeCell ref="B37:L37"/>
    <mergeCell ref="C38:D38"/>
    <mergeCell ref="I38:L38"/>
    <mergeCell ref="I39:L39"/>
    <mergeCell ref="I40:L40"/>
    <mergeCell ref="I41:L41"/>
    <mergeCell ref="B34:L34"/>
    <mergeCell ref="C35:D35"/>
    <mergeCell ref="E35:F35"/>
    <mergeCell ref="G35:H35"/>
    <mergeCell ref="I28:L28"/>
    <mergeCell ref="E20:F20"/>
    <mergeCell ref="I20:L20"/>
    <mergeCell ref="B21:L21"/>
    <mergeCell ref="C22:D22"/>
    <mergeCell ref="E22:F22"/>
    <mergeCell ref="G22:H22"/>
    <mergeCell ref="I22:J22"/>
    <mergeCell ref="K22:L22"/>
    <mergeCell ref="C5:H5"/>
    <mergeCell ref="I5:L5"/>
    <mergeCell ref="C6:H6"/>
    <mergeCell ref="J6:L6"/>
    <mergeCell ref="B24:L24"/>
    <mergeCell ref="E7:F7"/>
    <mergeCell ref="I7:L7"/>
    <mergeCell ref="B8:L8"/>
    <mergeCell ref="C9:D9"/>
    <mergeCell ref="E9:F9"/>
    <mergeCell ref="G9:H9"/>
    <mergeCell ref="I9:J9"/>
    <mergeCell ref="K9:L9"/>
    <mergeCell ref="C44:H44"/>
    <mergeCell ref="J44:L44"/>
    <mergeCell ref="B16:H16"/>
    <mergeCell ref="I16:L16"/>
    <mergeCell ref="B11:L11"/>
    <mergeCell ref="C12:D12"/>
    <mergeCell ref="I12:L12"/>
    <mergeCell ref="I13:L13"/>
    <mergeCell ref="I14:L14"/>
    <mergeCell ref="I15:L15"/>
    <mergeCell ref="B29:H29"/>
    <mergeCell ref="I29:L29"/>
    <mergeCell ref="C25:D25"/>
    <mergeCell ref="I25:L25"/>
    <mergeCell ref="I26:L26"/>
    <mergeCell ref="I27:L27"/>
    <mergeCell ref="G49:H49"/>
    <mergeCell ref="I49:L49"/>
    <mergeCell ref="B50:H50"/>
    <mergeCell ref="I50:L50"/>
    <mergeCell ref="C45:D45"/>
    <mergeCell ref="E45:F45"/>
    <mergeCell ref="G45:H45"/>
    <mergeCell ref="I45:J45"/>
    <mergeCell ref="K45:L45"/>
    <mergeCell ref="C48:L48"/>
  </mergeCells>
  <pageMargins left="0.70866141732283472" right="0.31" top="0.74803149606299213" bottom="0.74803149606299213" header="0.31496062992125984" footer="0.31496062992125984"/>
  <pageSetup paperSize="9"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52"/>
  <sheetViews>
    <sheetView tabSelected="1" zoomScale="115" zoomScaleNormal="115" workbookViewId="0">
      <selection activeCell="R4" sqref="R4"/>
    </sheetView>
  </sheetViews>
  <sheetFormatPr defaultRowHeight="15" x14ac:dyDescent="0.25"/>
  <cols>
    <col min="1" max="1" width="1" customWidth="1"/>
    <col min="2" max="2" width="24.42578125" customWidth="1"/>
    <col min="3" max="3" width="10.7109375" customWidth="1"/>
    <col min="4" max="4" width="4" style="1" bestFit="1" customWidth="1"/>
    <col min="5" max="5" width="10.7109375" customWidth="1"/>
    <col min="6" max="6" width="4" style="1" bestFit="1" customWidth="1"/>
    <col min="7" max="7" width="10.7109375" style="1" customWidth="1"/>
    <col min="8" max="8" width="5.7109375" style="1" customWidth="1"/>
    <col min="9" max="9" width="10.7109375" customWidth="1"/>
    <col min="10" max="10" width="4" style="1" bestFit="1" customWidth="1"/>
    <col min="11" max="11" width="10.7109375" customWidth="1"/>
    <col min="12" max="12" width="3.7109375" style="1" customWidth="1"/>
    <col min="13" max="13" width="2" customWidth="1"/>
    <col min="14" max="14" width="3" customWidth="1"/>
    <col min="15" max="15" width="27.140625" customWidth="1"/>
    <col min="16" max="16" width="6.5703125" customWidth="1"/>
    <col min="17" max="17" width="3.42578125" customWidth="1"/>
    <col min="18" max="18" width="9.7109375" customWidth="1"/>
    <col min="19" max="19" width="20.85546875" customWidth="1"/>
  </cols>
  <sheetData>
    <row r="1" spans="2:20" x14ac:dyDescent="0.25">
      <c r="B1" s="62" t="str">
        <f ca="1">CONCATENATE(" bestandsnaam = ", MID(CELL("bestandsnaam",$C$32),SEARCH("[",CELL("bestandsnaam",$C$32),1)+1,SEARCH("]",CELL("bestandsnaam",$C$32),1)-2-SEARCH("[",CELL("bestandsnaam",$C$32),1)))</f>
        <v xml:space="preserve"> bestandsnaam = PB1_week3_meetnauwkeurigheid_v20150924_0900.xls</v>
      </c>
      <c r="L1" s="124" t="str">
        <f ca="1">MID(   CELL("bestandsnaam",$C$18),SEARCH("]",CELL("bestandsnaam",$C$18),1)+1,    99  )</f>
        <v>M2.2 R(U,I) met I voor V en R</v>
      </c>
    </row>
    <row r="2" spans="2:20" x14ac:dyDescent="0.25">
      <c r="B2" s="62"/>
      <c r="L2" s="61"/>
      <c r="Q2" s="58"/>
    </row>
    <row r="3" spans="2:20" x14ac:dyDescent="0.25">
      <c r="B3" s="58" t="s">
        <v>54</v>
      </c>
      <c r="C3" s="59">
        <v>10</v>
      </c>
      <c r="D3" s="60" t="s">
        <v>59</v>
      </c>
      <c r="E3" t="s">
        <v>58</v>
      </c>
    </row>
    <row r="4" spans="2:20" ht="15.75" thickBot="1" x14ac:dyDescent="0.3">
      <c r="P4" s="58"/>
    </row>
    <row r="5" spans="2:20" ht="18.75" x14ac:dyDescent="0.3">
      <c r="B5" s="8" t="s">
        <v>0</v>
      </c>
      <c r="C5" s="108" t="s">
        <v>55</v>
      </c>
      <c r="D5" s="109"/>
      <c r="E5" s="109"/>
      <c r="F5" s="109"/>
      <c r="G5" s="109"/>
      <c r="H5" s="110"/>
      <c r="I5" s="111" t="s">
        <v>1</v>
      </c>
      <c r="J5" s="112"/>
      <c r="K5" s="112"/>
      <c r="L5" s="113"/>
      <c r="N5" s="132" t="s">
        <v>64</v>
      </c>
      <c r="O5" s="129"/>
      <c r="P5" s="129"/>
      <c r="Q5" s="129"/>
    </row>
    <row r="6" spans="2:20" x14ac:dyDescent="0.25">
      <c r="B6" s="9" t="s">
        <v>2</v>
      </c>
      <c r="C6" s="98" t="s">
        <v>3</v>
      </c>
      <c r="D6" s="99"/>
      <c r="E6" s="99"/>
      <c r="F6" s="99"/>
      <c r="G6" s="100"/>
      <c r="H6" s="93"/>
      <c r="I6" s="55" t="s">
        <v>4</v>
      </c>
      <c r="J6" s="101">
        <f ca="1">NOW()</f>
        <v>42271.45158483796</v>
      </c>
      <c r="K6" s="101"/>
      <c r="L6" s="102"/>
      <c r="N6" s="129"/>
      <c r="O6" s="128" t="s">
        <v>61</v>
      </c>
      <c r="P6" s="129">
        <v>5.75</v>
      </c>
      <c r="Q6" s="129"/>
      <c r="R6" s="127"/>
    </row>
    <row r="7" spans="2:20" x14ac:dyDescent="0.25">
      <c r="B7" s="10" t="s">
        <v>24</v>
      </c>
      <c r="C7" s="19">
        <v>30</v>
      </c>
      <c r="D7" s="2" t="s">
        <v>19</v>
      </c>
      <c r="E7" s="103" t="s">
        <v>26</v>
      </c>
      <c r="F7" s="104"/>
      <c r="G7" s="19">
        <f>POWER(10,TRUNC(LOG(C7,10))-5)</f>
        <v>1E-4</v>
      </c>
      <c r="H7" s="3" t="str">
        <f>D7</f>
        <v>V</v>
      </c>
      <c r="I7" s="79" t="s">
        <v>6</v>
      </c>
      <c r="J7" s="80"/>
      <c r="K7" s="80"/>
      <c r="L7" s="81"/>
      <c r="N7" s="129"/>
      <c r="O7" s="128" t="s">
        <v>63</v>
      </c>
      <c r="P7" s="129">
        <f>IF(C10&lt;IF((P6-TRUNC(P6))=0.75,3,IF((P6-TRUNC(P6))=0.5,2,10))*POWER(10,TRUNC(LOG(C7,10))),IF((P6-TRUNC(P6))=0.75,3,IF((P6-TRUNC(P6))=0.5,2,10))*POWER(10,TRUNC(LOG(C7,10))),IF((P6-TRUNC(P6))=0.75,3,IF((P6-TRUNC(P6))=0.5,2,10))*POWER(10,TRUNC(LOG(C7,10)))*10)</f>
        <v>30</v>
      </c>
      <c r="Q7" s="129" t="str">
        <f>D7</f>
        <v>V</v>
      </c>
      <c r="R7" s="127"/>
      <c r="T7" s="18"/>
    </row>
    <row r="8" spans="2:20" x14ac:dyDescent="0.25">
      <c r="B8" s="105"/>
      <c r="C8" s="106"/>
      <c r="D8" s="106"/>
      <c r="E8" s="106"/>
      <c r="F8" s="106"/>
      <c r="G8" s="107"/>
      <c r="H8" s="107"/>
      <c r="I8" s="106"/>
      <c r="J8" s="106"/>
      <c r="K8" s="106"/>
      <c r="L8" s="97"/>
      <c r="Q8" s="61" t="str">
        <f>IF(AND(P7=30,Q7="mA"),"NB: ipv 30mA is ook 20mA mogelijk","")</f>
        <v/>
      </c>
      <c r="R8" s="127"/>
    </row>
    <row r="9" spans="2:20" x14ac:dyDescent="0.25">
      <c r="B9" s="11" t="s">
        <v>11</v>
      </c>
      <c r="C9" s="90" t="s">
        <v>23</v>
      </c>
      <c r="D9" s="91"/>
      <c r="E9" s="92" t="s">
        <v>13</v>
      </c>
      <c r="F9" s="93"/>
      <c r="G9" s="92" t="s">
        <v>14</v>
      </c>
      <c r="H9" s="93"/>
      <c r="I9" s="94" t="s">
        <v>15</v>
      </c>
      <c r="J9" s="95"/>
      <c r="K9" s="96" t="s">
        <v>16</v>
      </c>
      <c r="L9" s="97"/>
      <c r="N9" s="132" t="s">
        <v>65</v>
      </c>
      <c r="O9" s="129"/>
      <c r="P9" s="129"/>
      <c r="Q9" s="129"/>
      <c r="R9" s="127"/>
      <c r="T9" s="18"/>
    </row>
    <row r="10" spans="2:20" ht="15.75" thickBot="1" x14ac:dyDescent="0.3">
      <c r="B10" s="26" t="s">
        <v>30</v>
      </c>
      <c r="C10" s="48">
        <v>19.050999999999998</v>
      </c>
      <c r="D10" s="13" t="str">
        <f>D7</f>
        <v>V</v>
      </c>
      <c r="E10" s="49">
        <f>ROUNDUP(SUM(E13:E15),P11)</f>
        <v>5.8999999999999999E-3</v>
      </c>
      <c r="F10" s="13" t="str">
        <f>D10</f>
        <v>V</v>
      </c>
      <c r="G10" s="14">
        <f>IF(ISNUMBER(C10),ROUNDUP(100*E10/C10,5),"-")</f>
        <v>3.0970000000000001E-2</v>
      </c>
      <c r="H10" s="15" t="s">
        <v>8</v>
      </c>
      <c r="I10" s="50">
        <f>C10-E10</f>
        <v>19.045099999999998</v>
      </c>
      <c r="J10" s="13" t="str">
        <f>D10</f>
        <v>V</v>
      </c>
      <c r="K10" s="50">
        <f>C10+E10</f>
        <v>19.056899999999999</v>
      </c>
      <c r="L10" s="17" t="str">
        <f>D10</f>
        <v>V</v>
      </c>
      <c r="N10" s="131" t="s">
        <v>67</v>
      </c>
      <c r="O10" s="130"/>
      <c r="P10" s="129"/>
      <c r="Q10" s="129"/>
      <c r="R10" s="127"/>
    </row>
    <row r="11" spans="2:20" ht="24.95" customHeight="1" x14ac:dyDescent="0.25">
      <c r="B11" s="74" t="s">
        <v>33</v>
      </c>
      <c r="C11" s="75"/>
      <c r="D11" s="75"/>
      <c r="E11" s="75"/>
      <c r="F11" s="75"/>
      <c r="G11" s="75"/>
      <c r="H11" s="75"/>
      <c r="I11" s="75"/>
      <c r="J11" s="75"/>
      <c r="K11" s="75"/>
      <c r="L11" s="76"/>
      <c r="N11" s="129"/>
      <c r="O11" s="133" t="s">
        <v>62</v>
      </c>
      <c r="P11" s="133">
        <f>TRUNC(P6)-TRUNC(LOG10(P7))</f>
        <v>4</v>
      </c>
      <c r="Q11" s="127"/>
      <c r="R11" s="127"/>
    </row>
    <row r="12" spans="2:20" x14ac:dyDescent="0.25">
      <c r="B12" s="11" t="s">
        <v>32</v>
      </c>
      <c r="C12" s="77" t="s">
        <v>12</v>
      </c>
      <c r="D12" s="78"/>
      <c r="E12" s="27" t="s">
        <v>13</v>
      </c>
      <c r="F12" s="28"/>
      <c r="G12" s="29" t="s">
        <v>14</v>
      </c>
      <c r="H12" s="28"/>
      <c r="I12" s="79" t="s">
        <v>27</v>
      </c>
      <c r="J12" s="80"/>
      <c r="K12" s="80"/>
      <c r="L12" s="81"/>
      <c r="N12" s="131" t="s">
        <v>66</v>
      </c>
      <c r="O12" s="130"/>
      <c r="P12" s="129"/>
    </row>
    <row r="13" spans="2:20" x14ac:dyDescent="0.25">
      <c r="B13" s="31" t="s">
        <v>7</v>
      </c>
      <c r="C13" s="56">
        <v>0.02</v>
      </c>
      <c r="D13" s="33" t="s">
        <v>8</v>
      </c>
      <c r="E13" s="51">
        <f>C10*C13/100</f>
        <v>3.8101999999999997E-3</v>
      </c>
      <c r="F13" s="35" t="str">
        <f>D7</f>
        <v>V</v>
      </c>
      <c r="G13" s="36">
        <f>IF(ISNUMBER(C13),100*E13/C10,"-")</f>
        <v>0.02</v>
      </c>
      <c r="H13" s="33" t="s">
        <v>8</v>
      </c>
      <c r="I13" s="82" t="s">
        <v>25</v>
      </c>
      <c r="J13" s="83"/>
      <c r="K13" s="83"/>
      <c r="L13" s="84"/>
      <c r="N13" s="129"/>
      <c r="O13" s="128" t="s">
        <v>62</v>
      </c>
      <c r="P13" s="128">
        <f>TRUNC(P6)-TRUNC(LOG10(P7))</f>
        <v>4</v>
      </c>
    </row>
    <row r="14" spans="2:20" x14ac:dyDescent="0.25">
      <c r="B14" s="31" t="s">
        <v>9</v>
      </c>
      <c r="C14" s="56">
        <v>5.0000000000000001E-3</v>
      </c>
      <c r="D14" s="33" t="s">
        <v>8</v>
      </c>
      <c r="E14" s="51">
        <f>C7*C14/100</f>
        <v>1.5E-3</v>
      </c>
      <c r="F14" s="35" t="str">
        <f>D7</f>
        <v>V</v>
      </c>
      <c r="G14" s="36">
        <f>IF(ISNUMBER(C14),100*E14/C10,"-")</f>
        <v>7.8736024355676865E-3</v>
      </c>
      <c r="H14" s="33" t="s">
        <v>8</v>
      </c>
      <c r="I14" s="82" t="s">
        <v>28</v>
      </c>
      <c r="J14" s="83"/>
      <c r="K14" s="83"/>
      <c r="L14" s="84"/>
      <c r="N14" s="131" t="s">
        <v>68</v>
      </c>
      <c r="O14" s="130"/>
      <c r="P14" s="129"/>
      <c r="Q14" s="129"/>
      <c r="T14" s="18"/>
    </row>
    <row r="15" spans="2:20" ht="15.75" thickBot="1" x14ac:dyDescent="0.3">
      <c r="B15" s="37" t="s">
        <v>18</v>
      </c>
      <c r="C15" s="57">
        <v>5</v>
      </c>
      <c r="D15" s="39" t="s">
        <v>10</v>
      </c>
      <c r="E15" s="51">
        <f>G7*C15</f>
        <v>5.0000000000000001E-4</v>
      </c>
      <c r="F15" s="41" t="str">
        <f>D7</f>
        <v>V</v>
      </c>
      <c r="G15" s="42">
        <f>IF(ISNUMBER(C15),100*E15/C10,"-")</f>
        <v>2.6245341451892291E-3</v>
      </c>
      <c r="H15" s="39" t="s">
        <v>8</v>
      </c>
      <c r="I15" s="85" t="s">
        <v>29</v>
      </c>
      <c r="J15" s="86"/>
      <c r="K15" s="86"/>
      <c r="L15" s="87"/>
      <c r="N15" s="129"/>
      <c r="O15" s="128" t="s">
        <v>62</v>
      </c>
      <c r="P15" s="128">
        <v>5</v>
      </c>
      <c r="Q15" s="127"/>
      <c r="T15" s="18"/>
    </row>
    <row r="16" spans="2:20" ht="30" customHeight="1" x14ac:dyDescent="0.25">
      <c r="B16" s="67" t="s">
        <v>34</v>
      </c>
      <c r="C16" s="68"/>
      <c r="D16" s="68"/>
      <c r="E16" s="68"/>
      <c r="F16" s="68"/>
      <c r="G16" s="68"/>
      <c r="H16" s="68"/>
      <c r="I16" s="69" t="str">
        <f ca="1">CONCATENATE(" versie: ",   MID(   CELL("bestandsnaam",$C$32),SEARCH("v20",CELL("bestandsnaam",$C$32),1)+1,    13   )   )</f>
        <v xml:space="preserve"> versie: 20150924_0900</v>
      </c>
      <c r="J16" s="70"/>
      <c r="K16" s="70"/>
      <c r="L16" s="70"/>
    </row>
    <row r="17" spans="2:20" ht="15.75" thickBot="1" x14ac:dyDescent="0.3"/>
    <row r="18" spans="2:20" ht="18.75" x14ac:dyDescent="0.3">
      <c r="B18" s="8" t="s">
        <v>0</v>
      </c>
      <c r="C18" s="108" t="s">
        <v>56</v>
      </c>
      <c r="D18" s="109"/>
      <c r="E18" s="109"/>
      <c r="F18" s="109"/>
      <c r="G18" s="109"/>
      <c r="H18" s="110"/>
      <c r="I18" s="111" t="s">
        <v>1</v>
      </c>
      <c r="J18" s="112"/>
      <c r="K18" s="112"/>
      <c r="L18" s="113"/>
      <c r="N18" s="132" t="s">
        <v>64</v>
      </c>
      <c r="O18" s="129"/>
      <c r="P18" s="129"/>
      <c r="Q18" s="129"/>
    </row>
    <row r="19" spans="2:20" x14ac:dyDescent="0.25">
      <c r="B19" s="9" t="s">
        <v>2</v>
      </c>
      <c r="C19" s="98" t="s">
        <v>3</v>
      </c>
      <c r="D19" s="99"/>
      <c r="E19" s="99"/>
      <c r="F19" s="99"/>
      <c r="G19" s="100"/>
      <c r="H19" s="93"/>
      <c r="I19" s="55" t="s">
        <v>4</v>
      </c>
      <c r="J19" s="101">
        <f ca="1">NOW()</f>
        <v>42271.45158483796</v>
      </c>
      <c r="K19" s="101"/>
      <c r="L19" s="102"/>
      <c r="N19" s="129"/>
      <c r="O19" s="128" t="s">
        <v>61</v>
      </c>
      <c r="P19" s="129">
        <v>5.75</v>
      </c>
      <c r="Q19" s="129"/>
    </row>
    <row r="20" spans="2:20" x14ac:dyDescent="0.25">
      <c r="B20" s="10" t="s">
        <v>24</v>
      </c>
      <c r="C20" s="19">
        <v>20</v>
      </c>
      <c r="D20" s="2" t="s">
        <v>42</v>
      </c>
      <c r="E20" s="103" t="s">
        <v>26</v>
      </c>
      <c r="F20" s="104"/>
      <c r="G20" s="19">
        <f>POWER(10,TRUNC(LOG(C20,10))-5)</f>
        <v>1E-4</v>
      </c>
      <c r="H20" s="3" t="str">
        <f>D20</f>
        <v>mA</v>
      </c>
      <c r="I20" s="79" t="s">
        <v>6</v>
      </c>
      <c r="J20" s="80"/>
      <c r="K20" s="80"/>
      <c r="L20" s="81"/>
      <c r="N20" s="129"/>
      <c r="O20" s="128" t="s">
        <v>63</v>
      </c>
      <c r="P20" s="129">
        <f>IF(C23&lt;IF((P19-TRUNC(P19))=0.75,3,IF((P19-TRUNC(P19))=0.5,2,10))*POWER(10,TRUNC(LOG(C20,10))),IF((P19-TRUNC(P19))=0.75,3,IF((P19-TRUNC(P19))=0.5,2,10))*POWER(10,TRUNC(LOG(C20,10))),IF((P19-TRUNC(P19))=0.75,3,IF((P19-TRUNC(P19))=0.5,2,10))*POWER(10,TRUNC(LOG(C20,10)))*10)</f>
        <v>30</v>
      </c>
      <c r="Q20" s="129" t="str">
        <f>D20</f>
        <v>mA</v>
      </c>
      <c r="T20" s="18"/>
    </row>
    <row r="21" spans="2:20" x14ac:dyDescent="0.25">
      <c r="B21" s="105"/>
      <c r="C21" s="106"/>
      <c r="D21" s="106"/>
      <c r="E21" s="106"/>
      <c r="F21" s="106"/>
      <c r="G21" s="107"/>
      <c r="H21" s="107"/>
      <c r="I21" s="106"/>
      <c r="J21" s="106"/>
      <c r="K21" s="106"/>
      <c r="L21" s="97"/>
      <c r="Q21" s="61" t="str">
        <f>IF(AND(P20=30,Q20="mA"),"NB: ipv 30mA is ook 20mA mogelijk","")</f>
        <v>NB: ipv 30mA is ook 20mA mogelijk</v>
      </c>
    </row>
    <row r="22" spans="2:20" x14ac:dyDescent="0.25">
      <c r="B22" s="11" t="s">
        <v>11</v>
      </c>
      <c r="C22" s="90" t="s">
        <v>23</v>
      </c>
      <c r="D22" s="91"/>
      <c r="E22" s="92" t="s">
        <v>13</v>
      </c>
      <c r="F22" s="93"/>
      <c r="G22" s="92" t="s">
        <v>14</v>
      </c>
      <c r="H22" s="93"/>
      <c r="I22" s="94" t="s">
        <v>15</v>
      </c>
      <c r="J22" s="95"/>
      <c r="K22" s="96" t="s">
        <v>16</v>
      </c>
      <c r="L22" s="97"/>
      <c r="N22" s="132" t="s">
        <v>65</v>
      </c>
      <c r="O22" s="129"/>
      <c r="P22" s="129"/>
      <c r="Q22" s="129"/>
      <c r="T22" s="18"/>
    </row>
    <row r="23" spans="2:20" ht="15.75" thickBot="1" x14ac:dyDescent="0.3">
      <c r="B23" s="26" t="s">
        <v>30</v>
      </c>
      <c r="C23" s="48">
        <v>19.465599999999998</v>
      </c>
      <c r="D23" s="13" t="str">
        <f>D20</f>
        <v>mA</v>
      </c>
      <c r="E23" s="49">
        <f>ROUNDUP(SUM(E26:E28),P24)</f>
        <v>6.4000000000000003E-3</v>
      </c>
      <c r="F23" s="13" t="str">
        <f>D23</f>
        <v>mA</v>
      </c>
      <c r="G23" s="14">
        <f>IF(ISNUMBER(C23),100*E23/C23,"-")</f>
        <v>3.287851389117212E-2</v>
      </c>
      <c r="H23" s="15" t="s">
        <v>8</v>
      </c>
      <c r="I23" s="50">
        <f>C23-E23</f>
        <v>19.459199999999999</v>
      </c>
      <c r="J23" s="13" t="str">
        <f>D23</f>
        <v>mA</v>
      </c>
      <c r="K23" s="50">
        <f>C23+E23</f>
        <v>19.471999999999998</v>
      </c>
      <c r="L23" s="17" t="str">
        <f>D23</f>
        <v>mA</v>
      </c>
      <c r="N23" s="131" t="s">
        <v>67</v>
      </c>
      <c r="O23" s="130"/>
      <c r="P23" s="129"/>
      <c r="Q23" s="129"/>
    </row>
    <row r="24" spans="2:20" ht="24.95" customHeight="1" x14ac:dyDescent="0.25">
      <c r="B24" s="74" t="s">
        <v>33</v>
      </c>
      <c r="C24" s="75"/>
      <c r="D24" s="75"/>
      <c r="E24" s="75"/>
      <c r="F24" s="75"/>
      <c r="G24" s="75"/>
      <c r="H24" s="75"/>
      <c r="I24" s="75"/>
      <c r="J24" s="75"/>
      <c r="K24" s="75"/>
      <c r="L24" s="76"/>
      <c r="N24" s="129"/>
      <c r="O24" s="133" t="s">
        <v>62</v>
      </c>
      <c r="P24" s="133">
        <f>TRUNC(P19)-TRUNC(LOG10(P20))</f>
        <v>4</v>
      </c>
      <c r="Q24" s="127"/>
    </row>
    <row r="25" spans="2:20" x14ac:dyDescent="0.25">
      <c r="B25" s="11" t="s">
        <v>32</v>
      </c>
      <c r="C25" s="77" t="s">
        <v>12</v>
      </c>
      <c r="D25" s="78"/>
      <c r="E25" s="27" t="s">
        <v>13</v>
      </c>
      <c r="F25" s="28"/>
      <c r="G25" s="29" t="s">
        <v>14</v>
      </c>
      <c r="H25" s="28"/>
      <c r="I25" s="79" t="s">
        <v>27</v>
      </c>
      <c r="J25" s="80"/>
      <c r="K25" s="80"/>
      <c r="L25" s="81"/>
      <c r="N25" s="131" t="s">
        <v>66</v>
      </c>
      <c r="O25" s="130"/>
      <c r="P25" s="129"/>
    </row>
    <row r="26" spans="2:20" ht="15.75" thickBot="1" x14ac:dyDescent="0.3">
      <c r="B26" s="31" t="s">
        <v>7</v>
      </c>
      <c r="C26" s="56">
        <v>0.02</v>
      </c>
      <c r="D26" s="33" t="s">
        <v>8</v>
      </c>
      <c r="E26" s="63">
        <f>C23*C26/100</f>
        <v>3.8931199999999999E-3</v>
      </c>
      <c r="F26" s="35" t="str">
        <f>D20</f>
        <v>mA</v>
      </c>
      <c r="G26" s="36">
        <f>IF(ISNUMBER(C26),100*E26/C23,"-")</f>
        <v>0.02</v>
      </c>
      <c r="H26" s="33" t="s">
        <v>8</v>
      </c>
      <c r="I26" s="82" t="s">
        <v>25</v>
      </c>
      <c r="J26" s="83"/>
      <c r="K26" s="83"/>
      <c r="L26" s="84"/>
      <c r="N26" s="129"/>
      <c r="O26" s="128" t="s">
        <v>62</v>
      </c>
      <c r="P26" s="128">
        <f>TRUNC(P19)-TRUNC(LOG10(P20))</f>
        <v>4</v>
      </c>
    </row>
    <row r="27" spans="2:20" ht="15.75" thickBot="1" x14ac:dyDescent="0.3">
      <c r="B27" s="31" t="s">
        <v>9</v>
      </c>
      <c r="C27" s="56">
        <v>0.01</v>
      </c>
      <c r="D27" s="33" t="s">
        <v>8</v>
      </c>
      <c r="E27" s="63">
        <f>C20*C27/100</f>
        <v>2E-3</v>
      </c>
      <c r="F27" s="35" t="str">
        <f>D20</f>
        <v>mA</v>
      </c>
      <c r="G27" s="36">
        <f>IF(ISNUMBER(C27),100*E27/C23,"-")</f>
        <v>1.0274535590991288E-2</v>
      </c>
      <c r="H27" s="33" t="s">
        <v>8</v>
      </c>
      <c r="I27" s="82" t="s">
        <v>28</v>
      </c>
      <c r="J27" s="83"/>
      <c r="K27" s="83"/>
      <c r="L27" s="84"/>
      <c r="N27" s="131" t="s">
        <v>68</v>
      </c>
      <c r="O27" s="130"/>
      <c r="P27" s="129"/>
      <c r="Q27" s="129"/>
      <c r="T27" s="18"/>
    </row>
    <row r="28" spans="2:20" ht="15.75" thickBot="1" x14ac:dyDescent="0.3">
      <c r="B28" s="37" t="s">
        <v>18</v>
      </c>
      <c r="C28" s="57">
        <v>5</v>
      </c>
      <c r="D28" s="39" t="s">
        <v>10</v>
      </c>
      <c r="E28" s="63">
        <f>G20*C28</f>
        <v>5.0000000000000001E-4</v>
      </c>
      <c r="F28" s="41" t="str">
        <f>D20</f>
        <v>mA</v>
      </c>
      <c r="G28" s="42">
        <f>IF(ISNUMBER(C28),100*E28/C23,"-")</f>
        <v>2.5686338977478221E-3</v>
      </c>
      <c r="H28" s="39" t="s">
        <v>8</v>
      </c>
      <c r="I28" s="85" t="s">
        <v>29</v>
      </c>
      <c r="J28" s="86"/>
      <c r="K28" s="86"/>
      <c r="L28" s="87"/>
      <c r="N28" s="129"/>
      <c r="O28" s="128" t="s">
        <v>62</v>
      </c>
      <c r="P28" s="128">
        <v>5</v>
      </c>
      <c r="Q28" s="127"/>
      <c r="T28" s="18"/>
    </row>
    <row r="29" spans="2:20" ht="30" customHeight="1" x14ac:dyDescent="0.25">
      <c r="B29" s="67" t="s">
        <v>34</v>
      </c>
      <c r="C29" s="68"/>
      <c r="D29" s="68"/>
      <c r="E29" s="68"/>
      <c r="F29" s="68"/>
      <c r="G29" s="68"/>
      <c r="H29" s="68"/>
      <c r="I29" s="69" t="str">
        <f ca="1">CONCATENATE(" versie: ",   MID(   CELL("bestandsnaam",$C$32),SEARCH("v20",CELL("bestandsnaam",$C$32),1)+1,    13   )   )</f>
        <v xml:space="preserve"> versie: 20150924_0900</v>
      </c>
      <c r="J29" s="70"/>
      <c r="K29" s="70"/>
      <c r="L29" s="70"/>
    </row>
    <row r="30" spans="2:20" ht="15.75" thickBot="1" x14ac:dyDescent="0.3"/>
    <row r="31" spans="2:20" ht="18.75" x14ac:dyDescent="0.3">
      <c r="B31" s="8" t="s">
        <v>0</v>
      </c>
      <c r="C31" s="108" t="s">
        <v>35</v>
      </c>
      <c r="D31" s="109"/>
      <c r="E31" s="109"/>
      <c r="F31" s="109"/>
      <c r="G31" s="109"/>
      <c r="H31" s="110"/>
      <c r="I31" s="111" t="s">
        <v>1</v>
      </c>
      <c r="J31" s="112"/>
      <c r="K31" s="112"/>
      <c r="L31" s="113"/>
      <c r="N31" s="132" t="s">
        <v>64</v>
      </c>
      <c r="O31" s="129"/>
      <c r="P31" s="129"/>
      <c r="Q31" s="129"/>
    </row>
    <row r="32" spans="2:20" x14ac:dyDescent="0.25">
      <c r="B32" s="9" t="s">
        <v>2</v>
      </c>
      <c r="C32" s="98" t="s">
        <v>3</v>
      </c>
      <c r="D32" s="99"/>
      <c r="E32" s="99"/>
      <c r="F32" s="99"/>
      <c r="G32" s="100"/>
      <c r="H32" s="93"/>
      <c r="I32" s="55" t="s">
        <v>4</v>
      </c>
      <c r="J32" s="101">
        <f ca="1">NOW()</f>
        <v>42271.45158483796</v>
      </c>
      <c r="K32" s="101"/>
      <c r="L32" s="102"/>
      <c r="N32" s="129"/>
      <c r="O32" s="128" t="s">
        <v>61</v>
      </c>
      <c r="P32" s="129">
        <v>5.75</v>
      </c>
      <c r="Q32" s="129"/>
    </row>
    <row r="33" spans="2:20" x14ac:dyDescent="0.25">
      <c r="B33" s="10" t="s">
        <v>24</v>
      </c>
      <c r="C33" s="19">
        <v>3000</v>
      </c>
      <c r="D33" s="2" t="s">
        <v>5</v>
      </c>
      <c r="E33" s="103" t="s">
        <v>26</v>
      </c>
      <c r="F33" s="104"/>
      <c r="G33" s="19">
        <f>POWER(10,TRUNC(LOG(C33,10))-5)</f>
        <v>0.01</v>
      </c>
      <c r="H33" s="3" t="str">
        <f>D33</f>
        <v>Ω</v>
      </c>
      <c r="I33" s="79" t="s">
        <v>6</v>
      </c>
      <c r="J33" s="80"/>
      <c r="K33" s="80"/>
      <c r="L33" s="81"/>
      <c r="N33" s="129"/>
      <c r="O33" s="128" t="s">
        <v>63</v>
      </c>
      <c r="P33" s="129">
        <f>IF(C36&lt;IF((P32-TRUNC(P32))=0.75,3,IF((P32-TRUNC(P32))=0.5,2,10))*POWER(10,TRUNC(LOG(C33,10))),IF((P32-TRUNC(P32))=0.75,3,IF((P32-TRUNC(P32))=0.5,2,10))*POWER(10,TRUNC(LOG(C33,10))),IF((P32-TRUNC(P32))=0.75,3,IF((P32-TRUNC(P32))=0.5,2,10))*POWER(10,TRUNC(LOG(C33,10)))*10)</f>
        <v>3000</v>
      </c>
      <c r="Q33" s="129" t="str">
        <f>D33</f>
        <v>Ω</v>
      </c>
      <c r="T33" s="18"/>
    </row>
    <row r="34" spans="2:20" x14ac:dyDescent="0.25">
      <c r="B34" s="105"/>
      <c r="C34" s="106"/>
      <c r="D34" s="106"/>
      <c r="E34" s="106"/>
      <c r="F34" s="106"/>
      <c r="G34" s="107"/>
      <c r="H34" s="107"/>
      <c r="I34" s="106"/>
      <c r="J34" s="106"/>
      <c r="K34" s="106"/>
      <c r="L34" s="97"/>
      <c r="Q34" s="61" t="str">
        <f>IF(AND(P33=30,Q33="mA"),"NB: ipv 30mA is ook 20mA mogelijk","")</f>
        <v/>
      </c>
    </row>
    <row r="35" spans="2:20" x14ac:dyDescent="0.25">
      <c r="B35" s="11" t="s">
        <v>11</v>
      </c>
      <c r="C35" s="90" t="s">
        <v>23</v>
      </c>
      <c r="D35" s="91"/>
      <c r="E35" s="92" t="s">
        <v>13</v>
      </c>
      <c r="F35" s="93"/>
      <c r="G35" s="92" t="s">
        <v>14</v>
      </c>
      <c r="H35" s="93"/>
      <c r="I35" s="94" t="s">
        <v>15</v>
      </c>
      <c r="J35" s="95"/>
      <c r="K35" s="96" t="s">
        <v>16</v>
      </c>
      <c r="L35" s="97"/>
      <c r="N35" s="132" t="s">
        <v>65</v>
      </c>
      <c r="O35" s="129"/>
      <c r="P35" s="129"/>
      <c r="Q35" s="129"/>
      <c r="T35" s="18"/>
    </row>
    <row r="36" spans="2:20" ht="15.75" thickBot="1" x14ac:dyDescent="0.3">
      <c r="B36" s="26" t="s">
        <v>30</v>
      </c>
      <c r="C36" s="20">
        <v>978.7</v>
      </c>
      <c r="D36" s="13" t="str">
        <f>D33</f>
        <v>Ω</v>
      </c>
      <c r="E36" s="12">
        <f>ROUNDUP(SUM(E39:E41),P37)</f>
        <v>0.84</v>
      </c>
      <c r="F36" s="13" t="str">
        <f>D36</f>
        <v>Ω</v>
      </c>
      <c r="G36" s="14">
        <f>IF(ISNUMBER(C36),100*E36/C36,"-")</f>
        <v>8.5828139368550119E-2</v>
      </c>
      <c r="H36" s="15" t="s">
        <v>8</v>
      </c>
      <c r="I36" s="16">
        <f>C36-E36</f>
        <v>977.86</v>
      </c>
      <c r="J36" s="13" t="str">
        <f>D36</f>
        <v>Ω</v>
      </c>
      <c r="K36" s="16">
        <f>C36+E36</f>
        <v>979.54000000000008</v>
      </c>
      <c r="L36" s="17" t="str">
        <f>D36</f>
        <v>Ω</v>
      </c>
      <c r="N36" s="131" t="s">
        <v>67</v>
      </c>
      <c r="O36" s="130"/>
      <c r="P36" s="129"/>
      <c r="Q36" s="129"/>
    </row>
    <row r="37" spans="2:20" ht="24.95" customHeight="1" x14ac:dyDescent="0.25">
      <c r="B37" s="74" t="s">
        <v>33</v>
      </c>
      <c r="C37" s="75"/>
      <c r="D37" s="75"/>
      <c r="E37" s="75"/>
      <c r="F37" s="75"/>
      <c r="G37" s="75"/>
      <c r="H37" s="75"/>
      <c r="I37" s="75"/>
      <c r="J37" s="75"/>
      <c r="K37" s="75"/>
      <c r="L37" s="76"/>
      <c r="N37" s="129"/>
      <c r="O37" s="133" t="s">
        <v>62</v>
      </c>
      <c r="P37" s="133">
        <f>TRUNC(P32)-TRUNC(LOG10(P33))</f>
        <v>2</v>
      </c>
      <c r="Q37" s="127"/>
    </row>
    <row r="38" spans="2:20" x14ac:dyDescent="0.25">
      <c r="B38" s="11" t="s">
        <v>32</v>
      </c>
      <c r="C38" s="77" t="s">
        <v>12</v>
      </c>
      <c r="D38" s="78"/>
      <c r="E38" s="27" t="s">
        <v>13</v>
      </c>
      <c r="F38" s="28"/>
      <c r="G38" s="29" t="s">
        <v>14</v>
      </c>
      <c r="H38" s="28"/>
      <c r="I38" s="79" t="s">
        <v>27</v>
      </c>
      <c r="J38" s="80"/>
      <c r="K38" s="80"/>
      <c r="L38" s="81"/>
      <c r="N38" s="131" t="s">
        <v>66</v>
      </c>
      <c r="O38" s="130"/>
      <c r="P38" s="129"/>
    </row>
    <row r="39" spans="2:20" x14ac:dyDescent="0.25">
      <c r="B39" s="31" t="s">
        <v>7</v>
      </c>
      <c r="C39" s="56">
        <v>0.05</v>
      </c>
      <c r="D39" s="33" t="s">
        <v>8</v>
      </c>
      <c r="E39" s="47">
        <f>C36*C39/100</f>
        <v>0.48935000000000001</v>
      </c>
      <c r="F39" s="35" t="str">
        <f>D33</f>
        <v>Ω</v>
      </c>
      <c r="G39" s="36">
        <f>IF(ISNUMBER(C39),100*E39/C36,"-")</f>
        <v>0.05</v>
      </c>
      <c r="H39" s="33" t="s">
        <v>8</v>
      </c>
      <c r="I39" s="82" t="s">
        <v>25</v>
      </c>
      <c r="J39" s="83"/>
      <c r="K39" s="83"/>
      <c r="L39" s="84"/>
      <c r="N39" s="129"/>
      <c r="O39" s="128" t="s">
        <v>62</v>
      </c>
      <c r="P39" s="128">
        <f>TRUNC(P32)-TRUNC(LOG10(P33))</f>
        <v>2</v>
      </c>
    </row>
    <row r="40" spans="2:20" x14ac:dyDescent="0.25">
      <c r="B40" s="31" t="s">
        <v>9</v>
      </c>
      <c r="C40" s="56">
        <v>0.01</v>
      </c>
      <c r="D40" s="33" t="s">
        <v>8</v>
      </c>
      <c r="E40" s="47">
        <f>C33*C40/100</f>
        <v>0.3</v>
      </c>
      <c r="F40" s="35" t="str">
        <f>D33</f>
        <v>Ω</v>
      </c>
      <c r="G40" s="36">
        <f>IF(ISNUMBER(C40),100*E40/C36,"-")</f>
        <v>3.0652906917339327E-2</v>
      </c>
      <c r="H40" s="33" t="s">
        <v>8</v>
      </c>
      <c r="I40" s="82" t="s">
        <v>28</v>
      </c>
      <c r="J40" s="83"/>
      <c r="K40" s="83"/>
      <c r="L40" s="84"/>
      <c r="N40" s="131" t="s">
        <v>68</v>
      </c>
      <c r="O40" s="130"/>
      <c r="P40" s="129"/>
      <c r="Q40" s="129"/>
      <c r="T40" s="18"/>
    </row>
    <row r="41" spans="2:20" ht="15.75" thickBot="1" x14ac:dyDescent="0.3">
      <c r="B41" s="37" t="s">
        <v>18</v>
      </c>
      <c r="C41" s="57">
        <v>5</v>
      </c>
      <c r="D41" s="39" t="s">
        <v>10</v>
      </c>
      <c r="E41" s="40">
        <f>G33*C41</f>
        <v>0.05</v>
      </c>
      <c r="F41" s="41" t="str">
        <f>D33</f>
        <v>Ω</v>
      </c>
      <c r="G41" s="42">
        <f>IF(ISNUMBER(C41),100*E41/C36,"-")</f>
        <v>5.1088178195565544E-3</v>
      </c>
      <c r="H41" s="39" t="s">
        <v>8</v>
      </c>
      <c r="I41" s="85" t="s">
        <v>29</v>
      </c>
      <c r="J41" s="86"/>
      <c r="K41" s="86"/>
      <c r="L41" s="87"/>
      <c r="N41" s="129"/>
      <c r="O41" s="128" t="s">
        <v>62</v>
      </c>
      <c r="P41" s="128">
        <v>5</v>
      </c>
      <c r="Q41" s="127"/>
      <c r="T41" s="18"/>
    </row>
    <row r="42" spans="2:20" s="30" customFormat="1" ht="24.95" customHeight="1" x14ac:dyDescent="0.25">
      <c r="B42" s="67" t="s">
        <v>34</v>
      </c>
      <c r="C42" s="68"/>
      <c r="D42" s="68"/>
      <c r="E42" s="68"/>
      <c r="F42" s="68"/>
      <c r="G42" s="68"/>
      <c r="H42" s="68"/>
      <c r="I42" s="69" t="str">
        <f ca="1">CONCATENATE(" versie: ",   MID(   CELL("bestandsnaam",$C$18),SEARCH("v20",CELL("bestandsnaam",$C$18),1)+1,    13   )   )</f>
        <v xml:space="preserve"> versie: 20150924_0900</v>
      </c>
      <c r="J42" s="70"/>
      <c r="K42" s="70"/>
      <c r="L42" s="70"/>
    </row>
    <row r="43" spans="2:20" ht="15.75" thickBot="1" x14ac:dyDescent="0.3"/>
    <row r="44" spans="2:20" ht="15.75" x14ac:dyDescent="0.25">
      <c r="B44" s="52" t="s">
        <v>38</v>
      </c>
      <c r="C44" s="71" t="s">
        <v>48</v>
      </c>
      <c r="D44" s="72"/>
      <c r="E44" s="72"/>
      <c r="F44" s="72"/>
      <c r="G44" s="72"/>
      <c r="H44" s="73"/>
      <c r="I44" s="25" t="s">
        <v>4</v>
      </c>
      <c r="J44" s="88">
        <f ca="1">NOW()</f>
        <v>42271.45158483796</v>
      </c>
      <c r="K44" s="88"/>
      <c r="L44" s="89"/>
      <c r="N44" s="132" t="s">
        <v>69</v>
      </c>
      <c r="O44" s="129"/>
      <c r="P44" s="129"/>
      <c r="Q44" s="129"/>
    </row>
    <row r="45" spans="2:20" x14ac:dyDescent="0.25">
      <c r="B45" s="11" t="s">
        <v>20</v>
      </c>
      <c r="C45" s="90" t="s">
        <v>12</v>
      </c>
      <c r="D45" s="91"/>
      <c r="E45" s="90" t="s">
        <v>13</v>
      </c>
      <c r="F45" s="91"/>
      <c r="G45" s="90" t="s">
        <v>14</v>
      </c>
      <c r="H45" s="91"/>
      <c r="I45" s="114" t="s">
        <v>15</v>
      </c>
      <c r="J45" s="115"/>
      <c r="K45" s="116" t="s">
        <v>16</v>
      </c>
      <c r="L45" s="117"/>
      <c r="N45" s="131" t="s">
        <v>67</v>
      </c>
      <c r="O45" s="130"/>
      <c r="P45" s="129"/>
      <c r="Q45" s="129"/>
    </row>
    <row r="46" spans="2:20" x14ac:dyDescent="0.25">
      <c r="B46" s="21" t="s">
        <v>49</v>
      </c>
      <c r="C46" s="64">
        <f>ROUND(C10/(C23/1000-C10/C3/1000000),P37)</f>
        <v>978.8</v>
      </c>
      <c r="D46" s="2" t="s">
        <v>5</v>
      </c>
      <c r="E46" s="53">
        <f>ROUNDUP(C46*G46/100,P37)</f>
        <v>0.63</v>
      </c>
      <c r="F46" s="3" t="str">
        <f>D46</f>
        <v>Ω</v>
      </c>
      <c r="G46" s="5">
        <f>G10+G23</f>
        <v>6.3848513891172118E-2</v>
      </c>
      <c r="H46" s="4" t="s">
        <v>8</v>
      </c>
      <c r="I46" s="53">
        <f>C46-E46</f>
        <v>978.17</v>
      </c>
      <c r="J46" s="3" t="str">
        <f>D46</f>
        <v>Ω</v>
      </c>
      <c r="K46" s="53">
        <f>C46+E46</f>
        <v>979.43</v>
      </c>
      <c r="L46" s="22" t="str">
        <f>D46</f>
        <v>Ω</v>
      </c>
      <c r="N46" s="129"/>
      <c r="O46" s="133" t="s">
        <v>62</v>
      </c>
      <c r="P46" s="133">
        <v>4</v>
      </c>
      <c r="Q46" s="127"/>
    </row>
    <row r="47" spans="2:20" x14ac:dyDescent="0.25">
      <c r="B47" s="21" t="s">
        <v>50</v>
      </c>
      <c r="C47" s="53">
        <f>C36</f>
        <v>978.7</v>
      </c>
      <c r="D47" s="3" t="str">
        <f>D46</f>
        <v>Ω</v>
      </c>
      <c r="E47" s="53">
        <f>ROUNDUP(C47*G47/100,P37)</f>
        <v>0.84</v>
      </c>
      <c r="F47" s="3" t="str">
        <f>D47</f>
        <v>Ω</v>
      </c>
      <c r="G47" s="5">
        <f>G36</f>
        <v>8.5828139368550119E-2</v>
      </c>
      <c r="H47" s="4" t="s">
        <v>8</v>
      </c>
      <c r="I47" s="53">
        <f>C47-E47</f>
        <v>977.86</v>
      </c>
      <c r="J47" s="3" t="str">
        <f>D47</f>
        <v>Ω</v>
      </c>
      <c r="K47" s="53">
        <f>C47+E47</f>
        <v>979.54000000000008</v>
      </c>
      <c r="L47" s="22" t="str">
        <f>D47</f>
        <v>Ω</v>
      </c>
      <c r="N47" s="131" t="s">
        <v>66</v>
      </c>
      <c r="O47" s="130"/>
      <c r="P47" s="129"/>
    </row>
    <row r="48" spans="2:20" x14ac:dyDescent="0.25">
      <c r="B48" s="11" t="s">
        <v>21</v>
      </c>
      <c r="C48" s="118"/>
      <c r="D48" s="106"/>
      <c r="E48" s="106"/>
      <c r="F48" s="106"/>
      <c r="G48" s="106"/>
      <c r="H48" s="106"/>
      <c r="I48" s="106"/>
      <c r="J48" s="106"/>
      <c r="K48" s="106"/>
      <c r="L48" s="97"/>
      <c r="N48" s="129"/>
      <c r="O48" s="128" t="s">
        <v>62</v>
      </c>
      <c r="P48" s="128">
        <v>4</v>
      </c>
    </row>
    <row r="49" spans="2:17" ht="15.75" thickBot="1" x14ac:dyDescent="0.3">
      <c r="B49" s="23" t="s">
        <v>51</v>
      </c>
      <c r="C49" s="53">
        <f>MIN(K46:K47)-MAX(I46:I47)</f>
        <v>1.2599999999999909</v>
      </c>
      <c r="D49" s="13" t="str">
        <f>D47</f>
        <v>Ω</v>
      </c>
      <c r="E49" s="66">
        <f>IF(C49&gt;0,100*C49/(2*MIN(E46,E47))," no overlap! ")</f>
        <v>99.999999999999275</v>
      </c>
      <c r="F49" s="13" t="str">
        <f>IF(C49&gt;0,"%","")</f>
        <v>%</v>
      </c>
      <c r="G49" s="119" t="s">
        <v>22</v>
      </c>
      <c r="H49" s="120"/>
      <c r="I49" s="121" t="str">
        <f>IF(F49="%", IF(E49&gt;=50,"geldige meting !","matige meting"),"meting over doen?")</f>
        <v>geldige meting !</v>
      </c>
      <c r="J49" s="122"/>
      <c r="K49" s="122"/>
      <c r="L49" s="123"/>
      <c r="N49" s="131" t="s">
        <v>68</v>
      </c>
      <c r="O49" s="130"/>
      <c r="P49" s="129"/>
      <c r="Q49" s="129"/>
    </row>
    <row r="50" spans="2:17" ht="30" customHeight="1" x14ac:dyDescent="0.25">
      <c r="B50" s="67" t="s">
        <v>34</v>
      </c>
      <c r="C50" s="68"/>
      <c r="D50" s="68"/>
      <c r="E50" s="68"/>
      <c r="F50" s="68"/>
      <c r="G50" s="68"/>
      <c r="H50" s="68"/>
      <c r="I50" s="69" t="str">
        <f ca="1">CONCATENATE(" versie: ",   MID(   CELL("bestandsnaam",$C$32),SEARCH("v20",CELL("bestandsnaam",$C$32),1)+1,    13   )   )</f>
        <v xml:space="preserve"> versie: 20150924_0900</v>
      </c>
      <c r="J50" s="70"/>
      <c r="K50" s="70"/>
      <c r="L50" s="70"/>
      <c r="N50" s="129"/>
      <c r="O50" s="133" t="s">
        <v>62</v>
      </c>
      <c r="P50" s="133">
        <v>5</v>
      </c>
      <c r="Q50" s="127"/>
    </row>
    <row r="51" spans="2:17" x14ac:dyDescent="0.25">
      <c r="N51" s="62" t="s">
        <v>71</v>
      </c>
    </row>
    <row r="52" spans="2:17" x14ac:dyDescent="0.25">
      <c r="N52" s="129"/>
      <c r="O52" s="134" t="s">
        <v>70</v>
      </c>
      <c r="P52" s="133"/>
    </row>
  </sheetData>
  <mergeCells count="72">
    <mergeCell ref="C5:H5"/>
    <mergeCell ref="I5:L5"/>
    <mergeCell ref="C6:H6"/>
    <mergeCell ref="J6:L6"/>
    <mergeCell ref="E7:F7"/>
    <mergeCell ref="I7:L7"/>
    <mergeCell ref="I15:L15"/>
    <mergeCell ref="B8:L8"/>
    <mergeCell ref="C9:D9"/>
    <mergeCell ref="E9:F9"/>
    <mergeCell ref="G9:H9"/>
    <mergeCell ref="I9:J9"/>
    <mergeCell ref="K9:L9"/>
    <mergeCell ref="B11:L11"/>
    <mergeCell ref="C12:D12"/>
    <mergeCell ref="I12:L12"/>
    <mergeCell ref="I13:L13"/>
    <mergeCell ref="I14:L14"/>
    <mergeCell ref="B16:H16"/>
    <mergeCell ref="I16:L16"/>
    <mergeCell ref="C18:H18"/>
    <mergeCell ref="I18:L18"/>
    <mergeCell ref="C19:H19"/>
    <mergeCell ref="J19:L19"/>
    <mergeCell ref="I28:L28"/>
    <mergeCell ref="E20:F20"/>
    <mergeCell ref="I20:L20"/>
    <mergeCell ref="B21:L21"/>
    <mergeCell ref="C22:D22"/>
    <mergeCell ref="E22:F22"/>
    <mergeCell ref="G22:H22"/>
    <mergeCell ref="I22:J22"/>
    <mergeCell ref="K22:L22"/>
    <mergeCell ref="B24:L24"/>
    <mergeCell ref="C25:D25"/>
    <mergeCell ref="I25:L25"/>
    <mergeCell ref="I26:L26"/>
    <mergeCell ref="I27:L27"/>
    <mergeCell ref="B29:H29"/>
    <mergeCell ref="I29:L29"/>
    <mergeCell ref="C31:H31"/>
    <mergeCell ref="I31:L31"/>
    <mergeCell ref="C32:H32"/>
    <mergeCell ref="J32:L32"/>
    <mergeCell ref="I41:L41"/>
    <mergeCell ref="E33:F33"/>
    <mergeCell ref="I33:L33"/>
    <mergeCell ref="B34:L34"/>
    <mergeCell ref="C35:D35"/>
    <mergeCell ref="E35:F35"/>
    <mergeCell ref="G35:H35"/>
    <mergeCell ref="I35:J35"/>
    <mergeCell ref="K35:L35"/>
    <mergeCell ref="B37:L37"/>
    <mergeCell ref="C38:D38"/>
    <mergeCell ref="I38:L38"/>
    <mergeCell ref="I39:L39"/>
    <mergeCell ref="I40:L40"/>
    <mergeCell ref="B42:H42"/>
    <mergeCell ref="I42:L42"/>
    <mergeCell ref="C44:H44"/>
    <mergeCell ref="J44:L44"/>
    <mergeCell ref="C45:D45"/>
    <mergeCell ref="E45:F45"/>
    <mergeCell ref="G45:H45"/>
    <mergeCell ref="I45:J45"/>
    <mergeCell ref="K45:L45"/>
    <mergeCell ref="C48:L48"/>
    <mergeCell ref="G49:H49"/>
    <mergeCell ref="I49:L49"/>
    <mergeCell ref="B50:H50"/>
    <mergeCell ref="I50:L50"/>
  </mergeCells>
  <pageMargins left="0.70866141732283472" right="0.33" top="0.74803149606299213" bottom="0.7480314960629921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M1"/>
  <sheetViews>
    <sheetView topLeftCell="A9" zoomScale="115" zoomScaleNormal="115" workbookViewId="0">
      <selection activeCell="U53" sqref="U53"/>
    </sheetView>
  </sheetViews>
  <sheetFormatPr defaultRowHeight="15" x14ac:dyDescent="0.25"/>
  <cols>
    <col min="14" max="14" width="4" customWidth="1"/>
  </cols>
  <sheetData>
    <row r="1" spans="13:13" x14ac:dyDescent="0.25">
      <c r="M1" s="61" t="str">
        <f ca="1">MID(   CELL("bestandsnaam",$C$16),SEARCH("]",CELL("bestandsnaam",$C$16),1)+1,    99  )</f>
        <v>Metra HIT 29S</v>
      </c>
    </row>
  </sheetData>
  <pageMargins left="0.56000000000000005" right="0.27" top="0.74803149606299213" bottom="0.74803149606299213" header="0.31496062992125984" footer="0.31496062992125984"/>
  <pageSetup paperSize="9" scale="7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M1.1 (R1 en R2)</vt:lpstr>
      <vt:lpstr>M1.2 (R x I)</vt:lpstr>
      <vt:lpstr>M2.1 R(U,I) met U over A en R</vt:lpstr>
      <vt:lpstr>M2.2 R(U,I) met I voor V en R</vt:lpstr>
      <vt:lpstr>Metra HIT 29S</vt:lpstr>
      <vt:lpstr>'M1.1 (R1 en R2)'!Afdrukbereik</vt:lpstr>
      <vt:lpstr>'M1.2 (R x I)'!Afdrukbereik</vt:lpstr>
      <vt:lpstr>'M2.1 R(U,I) met U over A en R'!Afdrukbereik</vt:lpstr>
      <vt:lpstr>'M2.2 R(U,I) met I voor V en R'!Afdrukbereik</vt:lpstr>
      <vt:lpstr>'Metra HIT 29S'!Afdrukbereik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Peter</cp:lastModifiedBy>
  <cp:lastPrinted>2015-09-24T08:50:22Z</cp:lastPrinted>
  <dcterms:created xsi:type="dcterms:W3CDTF">2015-09-23T19:06:00Z</dcterms:created>
  <dcterms:modified xsi:type="dcterms:W3CDTF">2015-09-24T08:51:16Z</dcterms:modified>
</cp:coreProperties>
</file>