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828"/>
  <workbookPr/>
  <mc:AlternateContent xmlns:mc="http://schemas.openxmlformats.org/markup-compatibility/2006">
    <mc:Choice Requires="x15">
      <x15ac:absPath xmlns:x15ac="http://schemas.microsoft.com/office/spreadsheetml/2010/11/ac" url="C:\Users\Geert\Dropbox\exel bestanden forum\"/>
    </mc:Choice>
  </mc:AlternateContent>
  <bookViews>
    <workbookView xWindow="0" yWindow="0" windowWidth="28800" windowHeight="13635" tabRatio="686"/>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Januari!#REF!</definedName>
    <definedName name="KeyCustom2Label">Januari!$R$2</definedName>
    <definedName name="KeyPersonal">Januari!#REF!</definedName>
    <definedName name="KeyPersonalLabel">Januari!$G$2</definedName>
    <definedName name="KeySick">Januari!$K$2</definedName>
    <definedName name="KeySickLabel">Januari!#REF!</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62913"/>
</workbook>
</file>

<file path=xl/calcChain.xml><?xml version="1.0" encoding="utf-8"?>
<calcChain xmlns="http://schemas.openxmlformats.org/spreadsheetml/2006/main">
  <c r="AH7" i="4" l="1"/>
  <c r="AH8" i="4"/>
  <c r="AH9" i="4"/>
  <c r="AH10" i="4"/>
  <c r="AH11" i="4"/>
  <c r="AI11" i="4" l="1"/>
  <c r="AI9" i="4"/>
  <c r="AI8" i="4"/>
  <c r="AI7" i="4"/>
  <c r="AI10" i="4"/>
  <c r="B12" i="15" l="1"/>
  <c r="B12" i="25"/>
  <c r="B12" i="24"/>
  <c r="B12" i="23"/>
  <c r="B12" i="22"/>
  <c r="B12" i="21"/>
  <c r="B12" i="20"/>
  <c r="B12" i="19"/>
  <c r="B12" i="18"/>
  <c r="B12" i="17"/>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5" i="5" l="1"/>
  <c r="AD5" i="5"/>
  <c r="AC5" i="5"/>
  <c r="AA5" i="5"/>
  <c r="Z5" i="5"/>
  <c r="Y5" i="5"/>
  <c r="X5" i="5"/>
  <c r="W5" i="5"/>
  <c r="V5" i="5"/>
  <c r="U5" i="5"/>
  <c r="T5" i="5"/>
  <c r="S5" i="5"/>
  <c r="R5" i="5"/>
  <c r="Q5" i="5"/>
  <c r="P5" i="5"/>
  <c r="O5" i="5"/>
  <c r="N5" i="5"/>
  <c r="M5" i="5"/>
  <c r="L5" i="5"/>
  <c r="K5" i="5"/>
  <c r="J5" i="5"/>
  <c r="I5" i="5"/>
  <c r="H5" i="5"/>
  <c r="G5" i="5"/>
  <c r="F5" i="5"/>
  <c r="E5" i="5"/>
  <c r="D5" i="5"/>
  <c r="C5" i="5"/>
  <c r="AE5" i="4" l="1"/>
  <c r="AA5" i="4"/>
  <c r="W5" i="4"/>
  <c r="O5" i="4"/>
  <c r="G5" i="4"/>
  <c r="AD5" i="4"/>
  <c r="Z5" i="4"/>
  <c r="R5" i="4"/>
  <c r="N5" i="4"/>
  <c r="F5" i="4"/>
  <c r="M5" i="4"/>
  <c r="AG5" i="4"/>
  <c r="AC5" i="4"/>
  <c r="Y5" i="4"/>
  <c r="S5" i="4"/>
  <c r="K5" i="4"/>
  <c r="E5" i="4"/>
  <c r="AF5" i="4"/>
  <c r="AB5" i="4"/>
  <c r="X5" i="4"/>
  <c r="T5" i="4"/>
  <c r="P5" i="4"/>
  <c r="L5" i="4"/>
  <c r="H5" i="4"/>
  <c r="D5" i="4"/>
  <c r="Q5" i="4"/>
  <c r="I5" i="4"/>
  <c r="C5" i="4"/>
  <c r="V5" i="4"/>
  <c r="J5" i="4"/>
  <c r="U5" i="4"/>
</calcChain>
</file>

<file path=xl/sharedStrings.xml><?xml version="1.0" encoding="utf-8"?>
<sst xmlns="http://schemas.openxmlformats.org/spreadsheetml/2006/main" count="623" uniqueCount="71">
  <si>
    <t>Werknemersafwezigheidsplanning</t>
  </si>
  <si>
    <t>Januari</t>
  </si>
  <si>
    <t>Naam van werknemer</t>
  </si>
  <si>
    <t>V</t>
  </si>
  <si>
    <t>Afwezigheidsdatums</t>
  </si>
  <si>
    <t>1</t>
  </si>
  <si>
    <t>2</t>
  </si>
  <si>
    <t>3</t>
  </si>
  <si>
    <t>4</t>
  </si>
  <si>
    <t>Z</t>
  </si>
  <si>
    <t>5</t>
  </si>
  <si>
    <t>6</t>
  </si>
  <si>
    <t>7</t>
  </si>
  <si>
    <t>8</t>
  </si>
  <si>
    <t>9</t>
  </si>
  <si>
    <t>Ziek</t>
  </si>
  <si>
    <t>10</t>
  </si>
  <si>
    <t>11</t>
  </si>
  <si>
    <t>12</t>
  </si>
  <si>
    <t>13</t>
  </si>
  <si>
    <t>14</t>
  </si>
  <si>
    <t>15</t>
  </si>
  <si>
    <t>16</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</si>
  <si>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</si>
  <si>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</si>
  <si>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</si>
  <si>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</si>
  <si>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</si>
  <si>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</si>
  <si>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</si>
  <si>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</si>
  <si>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</si>
  <si>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</si>
  <si>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</si>
  <si>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</si>
  <si>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</si>
  <si>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</si>
  <si>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</si>
  <si>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</si>
  <si>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</si>
  <si>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</si>
  <si>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</si>
  <si>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</si>
  <si>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</si>
  <si>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</si>
  <si>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</si>
  <si>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</si>
  <si>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</si>
  <si>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</si>
  <si>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</si>
  <si>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</si>
  <si>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</si>
  <si>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</si>
  <si>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</si>
  <si>
    <t>Werknemer 1</t>
  </si>
  <si>
    <t>Werknemer 2</t>
  </si>
  <si>
    <t>Werknemer 3</t>
  </si>
  <si>
    <t>Werknemer 4</t>
  </si>
  <si>
    <t>Werknemer 5</t>
  </si>
  <si>
    <t>1/2</t>
  </si>
  <si>
    <t>Halve dag verlof</t>
  </si>
  <si>
    <t>Verlof</t>
  </si>
  <si>
    <t>R</t>
  </si>
  <si>
    <t>Recup</t>
  </si>
  <si>
    <t>Van wacht</t>
  </si>
  <si>
    <t>W</t>
  </si>
  <si>
    <t>Totaal aantal</t>
  </si>
  <si>
    <t>dagen afwezig</t>
  </si>
  <si>
    <t xml:space="preserve">Aantal dagen </t>
  </si>
  <si>
    <t>ziek</t>
  </si>
  <si>
    <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</si>
</sst>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9"/>
      <color theme="1"/>
      <name val="Calibri"/>
      <family val="2"/>
      <scheme val="minor"/>
    </font>
    <font>
      <b/>
      <sz val="11"/>
      <color rgb="FFFFFF00"/>
      <name val="Calibri"/>
      <family val="2"/>
      <scheme val="minor"/>
    </font>
    <font>
      <b/>
      <sz val="11"/>
      <name val="Calibri"/>
      <family val="2"/>
      <scheme val="minor"/>
    </font>
    <font>
      <b/>
      <sz val="12"/>
      <color theme="1"/>
      <name val="Calibri"/>
      <family val="2"/>
      <scheme val="minor"/>
    </font>
    <font>
      <b/>
      <sz val="12"/>
      <name val="Calibri"/>
      <family val="2"/>
      <scheme val="minor"/>
    </font>
    <font>
      <b/>
      <sz val="14"/>
      <name val="Calibri"/>
      <family val="2"/>
      <scheme val="minor"/>
    </font>
    <font>
      <b/>
      <sz val="14"/>
      <color theme="1"/>
      <name val="Calibri"/>
      <family val="2"/>
      <scheme val="minor"/>
    </font>
    <font>
      <sz val="14"/>
      <color theme="1"/>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56">
    <xf numFmtId="0" fontId="0" fillId="0" borderId="0" xfId="0">
      <alignment horizontal="left" vertical="center"/>
    </xf>
    <xf numFmtId="0" fontId="0" fillId="0" borderId="0" xfId="0" applyAlignment="1" applyProtection="1">
      <alignment horizontal="center" vertical="center"/>
    </xf>
    <xf numFmtId="0" fontId="0" fillId="0" borderId="0" xfId="0" applyFont="1" applyFill="1" applyBorder="1" applyAlignment="1" applyProtection="1">
      <alignment horizontal="center" vertical="center"/>
    </xf>
    <xf numFmtId="0" fontId="2" fillId="15" borderId="0" xfId="12" applyAlignment="1" applyProtection="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0" fontId="0" fillId="0" borderId="0" xfId="0" applyProtection="1">
      <alignment horizontal="left" vertical="center"/>
    </xf>
    <xf numFmtId="0" fontId="6" fillId="2" borderId="0" xfId="3" applyProtection="1">
      <alignment horizontal="center" vertical="center"/>
    </xf>
    <xf numFmtId="164" fontId="0" fillId="0" borderId="0" xfId="0" applyNumberFormat="1" applyFont="1" applyFill="1" applyBorder="1" applyAlignment="1" applyProtection="1">
      <alignment horizontal="center" vertical="center"/>
    </xf>
    <xf numFmtId="0" fontId="7" fillId="0" borderId="0" xfId="1" applyAlignment="1" applyProtection="1">
      <alignment vertical="top"/>
    </xf>
    <xf numFmtId="0" fontId="1" fillId="2" borderId="0" xfId="21" applyBorder="1" applyAlignment="1" applyProtection="1">
      <alignment horizontal="left" vertical="center" indent="1"/>
    </xf>
    <xf numFmtId="0" fontId="0" fillId="0" borderId="0" xfId="21" applyFont="1" applyFill="1" applyBorder="1" applyAlignment="1" applyProtection="1">
      <alignment horizontal="center" vertical="center"/>
    </xf>
    <xf numFmtId="0" fontId="0" fillId="0" borderId="0" xfId="0" applyAlignment="1" applyProtection="1">
      <alignment horizontal="left" vertical="center" wrapText="1"/>
    </xf>
    <xf numFmtId="0" fontId="8" fillId="0" borderId="0" xfId="27" applyProtection="1">
      <alignment horizontal="center"/>
    </xf>
    <xf numFmtId="0" fontId="0" fillId="0" borderId="0" xfId="0" applyFont="1" applyFill="1" applyBorder="1" applyAlignment="1" applyProtection="1">
      <alignment horizontal="left" vertical="center" indent="1"/>
    </xf>
    <xf numFmtId="0" fontId="7" fillId="0" borderId="0" xfId="1">
      <alignment vertical="top"/>
    </xf>
    <xf numFmtId="0" fontId="0" fillId="0" borderId="0" xfId="26" applyFont="1">
      <alignment horizontal="left" vertical="center" wrapText="1" indent="2"/>
    </xf>
    <xf numFmtId="0" fontId="1" fillId="2" borderId="0" xfId="21" applyAlignment="1" applyProtection="1">
      <alignment horizontal="left" vertical="center"/>
    </xf>
    <xf numFmtId="0" fontId="2" fillId="21" borderId="0" xfId="4" applyFill="1" applyProtection="1">
      <alignment horizontal="right" vertical="center" indent="1"/>
    </xf>
    <xf numFmtId="0" fontId="9" fillId="0" borderId="0" xfId="0" applyFont="1" applyProtection="1">
      <alignment horizontal="left" vertical="center"/>
    </xf>
    <xf numFmtId="49" fontId="2" fillId="10" borderId="0" xfId="19" applyNumberFormat="1" applyFont="1" applyAlignment="1" applyProtection="1">
      <alignment horizontal="center" vertical="center"/>
    </xf>
    <xf numFmtId="164" fontId="2" fillId="0" borderId="0" xfId="24" applyNumberFormat="1" applyFont="1" applyFill="1" applyAlignment="1" applyProtection="1">
      <alignment horizontal="center" vertical="center"/>
    </xf>
    <xf numFmtId="0" fontId="1" fillId="0" borderId="0" xfId="21" applyFill="1" applyAlignment="1" applyProtection="1">
      <alignment horizontal="left" vertical="center"/>
    </xf>
    <xf numFmtId="0" fontId="0" fillId="21" borderId="0" xfId="0" applyFill="1" applyAlignment="1">
      <alignment horizontal="left" vertical="center"/>
    </xf>
    <xf numFmtId="0" fontId="2" fillId="21" borderId="0" xfId="23" applyFont="1" applyFill="1" applyAlignment="1" applyProtection="1">
      <alignment horizontal="left" vertical="center"/>
    </xf>
    <xf numFmtId="0" fontId="10" fillId="22" borderId="0" xfId="23" applyFont="1" applyFill="1" applyAlignment="1" applyProtection="1">
      <alignment horizontal="center" vertical="center"/>
    </xf>
    <xf numFmtId="164" fontId="2" fillId="0" borderId="0" xfId="8" applyNumberFormat="1" applyFont="1" applyFill="1" applyAlignment="1" applyProtection="1">
      <alignment horizontal="center" vertical="center"/>
    </xf>
    <xf numFmtId="0" fontId="2" fillId="2" borderId="0" xfId="21" applyFont="1" applyAlignment="1" applyProtection="1">
      <alignment horizontal="left" vertical="center"/>
    </xf>
    <xf numFmtId="164" fontId="2" fillId="25" borderId="0" xfId="8" applyNumberFormat="1" applyFont="1" applyFill="1" applyAlignment="1" applyProtection="1">
      <alignment horizontal="center" vertical="center"/>
    </xf>
    <xf numFmtId="164" fontId="11" fillId="24" borderId="0" xfId="24" applyNumberFormat="1" applyFont="1" applyFill="1" applyAlignment="1" applyProtection="1">
      <alignment horizontal="center" vertical="center"/>
    </xf>
    <xf numFmtId="0" fontId="6" fillId="0" borderId="0" xfId="3" applyFill="1" applyProtection="1">
      <alignment horizontal="center" vertical="center"/>
    </xf>
    <xf numFmtId="0" fontId="6" fillId="23" borderId="0" xfId="3" applyFill="1" applyProtection="1">
      <alignment horizontal="center" vertical="center"/>
    </xf>
    <xf numFmtId="0" fontId="0" fillId="23" borderId="0" xfId="0" applyFill="1">
      <alignment horizontal="left" vertical="center"/>
    </xf>
    <xf numFmtId="0" fontId="1" fillId="23" borderId="0" xfId="26" applyFill="1" applyBorder="1">
      <alignment horizontal="left" vertical="center" wrapText="1" indent="2"/>
    </xf>
    <xf numFmtId="0" fontId="14" fillId="23" borderId="7" xfId="3" applyFont="1" applyFill="1" applyBorder="1" applyProtection="1">
      <alignment horizontal="center" vertical="center"/>
    </xf>
    <xf numFmtId="0" fontId="14" fillId="23" borderId="2" xfId="21" applyFont="1" applyFill="1" applyBorder="1" applyAlignment="1" applyProtection="1">
      <alignment horizontal="center" vertical="center"/>
    </xf>
    <xf numFmtId="0" fontId="14" fillId="23" borderId="1" xfId="0" applyFont="1" applyFill="1" applyBorder="1" applyAlignment="1">
      <alignment horizontal="center" vertical="center"/>
    </xf>
    <xf numFmtId="0" fontId="15" fillId="23" borderId="2" xfId="0" applyFont="1" applyFill="1" applyBorder="1" applyAlignment="1">
      <alignment horizontal="center" vertical="center"/>
    </xf>
    <xf numFmtId="0" fontId="16" fillId="0" borderId="4" xfId="0" applyFont="1" applyFill="1" applyBorder="1" applyAlignment="1">
      <alignment horizontal="center" vertical="center"/>
    </xf>
    <xf numFmtId="12" fontId="12" fillId="0" borderId="0" xfId="0" applyNumberFormat="1" applyFont="1" applyFill="1" applyBorder="1" applyAlignment="1" applyProtection="1">
      <alignment horizontal="center" vertical="center"/>
    </xf>
    <xf numFmtId="0" fontId="12" fillId="27" borderId="6" xfId="0" applyFont="1" applyFill="1" applyBorder="1" applyAlignment="1" applyProtection="1">
      <alignment horizontal="center" vertical="center"/>
    </xf>
    <xf numFmtId="0" fontId="13" fillId="26" borderId="0" xfId="0" applyFont="1" applyFill="1" applyBorder="1" applyAlignment="1" applyProtection="1">
      <alignment horizontal="center" vertical="center"/>
    </xf>
    <xf numFmtId="0" fontId="2" fillId="26" borderId="0" xfId="21" applyFont="1" applyFill="1" applyBorder="1" applyAlignment="1" applyProtection="1">
      <alignment horizontal="left" vertical="center" indent="1"/>
    </xf>
    <xf numFmtId="0" fontId="16" fillId="0" borderId="3" xfId="0" applyFont="1" applyFill="1" applyBorder="1" applyAlignment="1">
      <alignment horizontal="center" vertical="center"/>
    </xf>
    <xf numFmtId="0" fontId="16" fillId="0" borderId="5" xfId="0" applyFont="1" applyFill="1" applyBorder="1" applyAlignment="1">
      <alignment horizontal="center" vertical="center"/>
    </xf>
    <xf numFmtId="165" fontId="16" fillId="0" borderId="4" xfId="25" applyNumberFormat="1" applyFont="1" applyFill="1" applyBorder="1" applyProtection="1">
      <alignment horizontal="center" vertical="center"/>
    </xf>
    <xf numFmtId="165" fontId="16" fillId="0" borderId="3" xfId="25" applyNumberFormat="1" applyFont="1" applyFill="1" applyBorder="1" applyProtection="1">
      <alignment horizontal="center" vertical="center"/>
    </xf>
    <xf numFmtId="165" fontId="16" fillId="0" borderId="5" xfId="25" applyNumberFormat="1" applyFont="1" applyFill="1" applyBorder="1" applyProtection="1">
      <alignment horizontal="center" vertical="center"/>
    </xf>
    <xf numFmtId="0" fontId="6" fillId="23" borderId="0" xfId="3" applyFill="1" applyProtection="1">
      <alignment horizontal="center" vertical="center"/>
    </xf>
    <xf numFmtId="0" fontId="1" fillId="0" borderId="0" xfId="21" applyFill="1" applyAlignment="1" applyProtection="1">
      <alignment horizontal="left" vertical="center"/>
    </xf>
    <xf numFmtId="0" fontId="2" fillId="2" borderId="0" xfId="21" applyFont="1" applyAlignment="1" applyProtection="1">
      <alignment horizontal="left" vertical="center"/>
    </xf>
    <xf numFmtId="0" fontId="2" fillId="0" borderId="0" xfId="0" applyFont="1" applyAlignment="1">
      <alignment horizontal="left" vertical="center"/>
    </xf>
    <xf numFmtId="49" fontId="2" fillId="21" borderId="0" xfId="19" applyNumberFormat="1" applyFont="1" applyFill="1" applyAlignment="1" applyProtection="1">
      <alignment horizontal="left" vertical="center"/>
    </xf>
    <xf numFmtId="0" fontId="0" fillId="0" borderId="0" xfId="0" applyAlignment="1">
      <alignment horizontal="left" vertical="center"/>
    </xf>
    <xf numFmtId="164" fontId="2" fillId="21" borderId="0" xfId="8" applyNumberFormat="1" applyFont="1" applyFill="1" applyAlignment="1" applyProtection="1">
      <alignment horizontal="left" vertical="center"/>
    </xf>
    <xf numFmtId="0" fontId="6" fillId="2" borderId="0" xfId="3" applyProtection="1">
      <alignment horizontal="center"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cellStyles>
  <dxfs count="1032">
    <dxf>
      <font>
        <strike val="0"/>
        <outline val="0"/>
        <shadow val="0"/>
        <u val="none"/>
        <vertAlign val="baseline"/>
        <sz val="14"/>
        <color theme="1"/>
        <name val="Calibri"/>
        <family val="2"/>
        <scheme val="minor"/>
      </font>
      <numFmt numFmtId="165" formatCode="0.0"/>
      <fill>
        <patternFill patternType="none">
          <fgColor indexed="64"/>
          <bgColor auto="1"/>
        </patternFill>
      </fill>
      <border diagonalUp="0" diagonalDown="0">
        <left style="medium">
          <color auto="1"/>
        </left>
        <right style="medium">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border outline="0">
        <left/>
        <right style="medium">
          <color auto="1"/>
        </right>
      </border>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alignment horizontal="left" vertical="center" textRotation="0" wrapText="0" indent="1" justifyLastLine="0" shrinkToFit="0" readingOrder="0"/>
      <border diagonalUp="0" diagonalDown="0">
        <left/>
        <right/>
        <top/>
        <bottom/>
      </border>
      <protection locked="1" hidden="0"/>
    </dxf>
    <dxf>
      <fill>
        <patternFill patternType="solid">
          <fgColor indexed="64"/>
          <bgColor theme="6" tint="0.59999389629810485"/>
        </patternFill>
      </fill>
    </dxf>
    <dxf>
      <protection locked="1" hidden="0"/>
    </dxf>
    <dxf>
      <protection locked="1" hidden="0"/>
    </dxf>
    <dxf>
      <protection locked="1" hidden="0"/>
    </dxf>
    <dxf>
      <font>
        <b/>
        <i val="0"/>
        <strike val="0"/>
      </font>
      <fill>
        <patternFill>
          <bgColor theme="7" tint="0.59996337778862885"/>
        </patternFill>
      </fill>
    </dxf>
    <dxf>
      <font>
        <b/>
        <i val="0"/>
        <strike/>
      </font>
      <fill>
        <patternFill>
          <bgColor rgb="FF00B0F0"/>
        </patternFill>
      </fill>
    </dxf>
    <dxf>
      <font>
        <strike val="0"/>
        <color rgb="FFFFFF00"/>
      </font>
      <fill>
        <patternFill>
          <bgColor rgb="FFFF0000"/>
        </patternFill>
      </fill>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24994659260841701"/>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0"/>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i val="0"/>
        <color auto="1"/>
      </font>
      <fill>
        <patternFill>
          <bgColor rgb="FFFFFF00"/>
        </patternFill>
      </fill>
    </dxf>
    <dxf>
      <fill>
        <patternFill>
          <bgColor theme="6" tint="0.39994506668294322"/>
        </patternFill>
      </fill>
    </dxf>
    <dxf>
      <font>
        <color rgb="FF9C5700"/>
      </font>
      <fill>
        <patternFill>
          <bgColor rgb="FFFFEB9C"/>
        </patternFill>
      </fill>
    </dxf>
    <dxf>
      <font>
        <color rgb="FF9C0006"/>
      </font>
      <fill>
        <patternFill>
          <bgColor rgb="FFFFC7CE"/>
        </patternFill>
      </fill>
    </dxf>
    <dxf>
      <font>
        <b/>
        <i val="0"/>
      </font>
    </dxf>
    <dxf>
      <fill>
        <patternFill>
          <bgColor theme="5" tint="0.59996337778862885"/>
        </patternFill>
      </fill>
    </dxf>
    <dxf>
      <font>
        <b/>
        <i val="0"/>
        <color theme="1"/>
      </font>
      <fill>
        <patternFill>
          <bgColor theme="6" tint="0.39994506668294322"/>
        </patternFill>
      </fill>
    </dxf>
    <dxf>
      <font>
        <b/>
        <i val="0"/>
      </font>
      <fill>
        <patternFill>
          <bgColor theme="6" tint="0.39994506668294322"/>
        </patternFill>
      </fill>
    </dxf>
    <dxf>
      <fill>
        <patternFill>
          <bgColor theme="6" tint="0.39994506668294322"/>
        </patternFill>
      </fill>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tableStyleElement type="wholeTable" dxfId="1031"/>
      <tableStyleElement type="headerRow" dxfId="1030"/>
      <tableStyleElement type="totalRow" dxfId="1029"/>
      <tableStyleElement type="firstColumn" dxfId="1028"/>
      <tableStyleElement type="lastColumn" dxfId="1027"/>
      <tableStyleElement type="firstRowStripe" dxfId="1026"/>
      <tableStyleElement type="secondRowStripe" dxfId="1025"/>
      <tableStyleElement type="firstColumnStripe" dxfId="1024"/>
      <tableStyleElement type="secondColumnStripe" dxfId="1023"/>
      <tableStyleElement type="firstHeaderCell" dxfId="1022"/>
      <tableStyleElement type="lastHeaderCell" dxfId="1021"/>
      <tableStyleElement type="firstTotalCell" dxfId="1020"/>
      <tableStyleElement type="lastTotalCell" dxfId="10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3" name="Januari" displayName="Januari" ref="B6:AH11" totalsRowShown="0" headerRowDxfId="984" dataDxfId="983" totalsRowDxfId="982">
  <autoFilter ref="B6:AH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name="Naam van werknemer" dataDxfId="981" totalsRowDxfId="980"/>
    <tableColumn id="2" name="1" dataDxfId="979"/>
    <tableColumn id="3" name="2" dataDxfId="978"/>
    <tableColumn id="4" name="3" dataDxfId="977"/>
    <tableColumn id="5" name="4" dataDxfId="976"/>
    <tableColumn id="6" name="5" dataDxfId="975"/>
    <tableColumn id="7" name="6" dataDxfId="974"/>
    <tableColumn id="8" name="7" dataDxfId="973"/>
    <tableColumn id="9" name="8" dataDxfId="972"/>
    <tableColumn id="10" name="9" dataDxfId="971"/>
    <tableColumn id="11" name="10" dataDxfId="970"/>
    <tableColumn id="12" name="11" dataDxfId="969"/>
    <tableColumn id="13" name="12" dataDxfId="968"/>
    <tableColumn id="14" name="13" dataDxfId="967"/>
    <tableColumn id="15" name="14" dataDxfId="966"/>
    <tableColumn id="16" name="15" dataDxfId="965"/>
    <tableColumn id="17" name="16" dataDxfId="964"/>
    <tableColumn id="18" name="17" dataDxfId="963"/>
    <tableColumn id="19" name="18" dataDxfId="962"/>
    <tableColumn id="20" name="19" dataDxfId="961"/>
    <tableColumn id="21" name="20" dataDxfId="960"/>
    <tableColumn id="22" name="21" dataDxfId="959"/>
    <tableColumn id="23" name="22" dataDxfId="958"/>
    <tableColumn id="24" name="23" dataDxfId="957"/>
    <tableColumn id="25" name="24" dataDxfId="956"/>
    <tableColumn id="26" name="25" dataDxfId="955"/>
    <tableColumn id="27" name="26" dataDxfId="954"/>
    <tableColumn id="28" name="27" dataDxfId="953"/>
    <tableColumn id="29" name="28" dataDxfId="952"/>
    <tableColumn id="30" name="29" dataDxfId="951"/>
    <tableColumn id="31" name="30" dataDxfId="950"/>
    <tableColumn id="32" name="31" dataDxfId="949"/>
    <tableColumn id="33" name="dagen afwezig" dataDxfId="0">
      <calculatedColumnFormula>COUNTA(Januari!$C7:$AG7)-COUNT(Januari!$C7:$AG7)+(COUNTIF(Januari!$C7:$AG7,"&lt;1")/2)-COUNTIF(Januari!$C7:$AG7,"W")</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id="21" name="Oktober" displayName="Oktober" ref="B6:AH12" totalsRowCount="1" headerRowDxfId="241" dataDxfId="240" totalsRowDxfId="239">
  <tableColumns count="33">
    <tableColumn id="1" name="Naam van werknemer" totalsRowFunction="custom" dataDxfId="238" totalsRowDxfId="237" dataCellStyle="Werknemer">
      <totalsRowFormula>MonthName&amp;" totaal"</totalsRowFormula>
    </tableColumn>
    <tableColumn id="2" name="1" totalsRowFunction="count" dataDxfId="236" totalsRowDxfId="235"/>
    <tableColumn id="3" name="2" totalsRowFunction="count" dataDxfId="234" totalsRowDxfId="233"/>
    <tableColumn id="4" name="3" totalsRowFunction="count" dataDxfId="232" totalsRowDxfId="231"/>
    <tableColumn id="5" name="4" totalsRowFunction="count" dataDxfId="230" totalsRowDxfId="229"/>
    <tableColumn id="6" name="5" totalsRowFunction="count" dataDxfId="228" totalsRowDxfId="227"/>
    <tableColumn id="7" name="6" totalsRowFunction="count" dataDxfId="226" totalsRowDxfId="225"/>
    <tableColumn id="8" name="7" totalsRowFunction="count" dataDxfId="224" totalsRowDxfId="223"/>
    <tableColumn id="9" name="8" totalsRowFunction="count" dataDxfId="222" totalsRowDxfId="221"/>
    <tableColumn id="10" name="9" totalsRowFunction="count" dataDxfId="220" totalsRowDxfId="219"/>
    <tableColumn id="11" name="10" totalsRowFunction="count" dataDxfId="218" totalsRowDxfId="217"/>
    <tableColumn id="12" name="11" totalsRowFunction="count" dataDxfId="216" totalsRowDxfId="215"/>
    <tableColumn id="13" name="12" totalsRowFunction="count" dataDxfId="214" totalsRowDxfId="213"/>
    <tableColumn id="14" name="13" totalsRowFunction="count" dataDxfId="212" totalsRowDxfId="211"/>
    <tableColumn id="15" name="14" totalsRowFunction="count" dataDxfId="210" totalsRowDxfId="209"/>
    <tableColumn id="16" name="15" totalsRowFunction="count" dataDxfId="208" totalsRowDxfId="207"/>
    <tableColumn id="17" name="16" totalsRowFunction="count" dataDxfId="206" totalsRowDxfId="205"/>
    <tableColumn id="18" name="17" totalsRowFunction="count" dataDxfId="204" totalsRowDxfId="203"/>
    <tableColumn id="19" name="18" totalsRowFunction="count" dataDxfId="202" totalsRowDxfId="201"/>
    <tableColumn id="20" name="19" totalsRowFunction="count" dataDxfId="200" totalsRowDxfId="199"/>
    <tableColumn id="21" name="20" totalsRowFunction="count" dataDxfId="198" totalsRowDxfId="197"/>
    <tableColumn id="22" name="21" totalsRowFunction="count" dataDxfId="196" totalsRowDxfId="195"/>
    <tableColumn id="23" name="22" totalsRowFunction="count" dataDxfId="194" totalsRowDxfId="193"/>
    <tableColumn id="24" name="23" totalsRowFunction="count" dataDxfId="192" totalsRowDxfId="191"/>
    <tableColumn id="25" name="24" totalsRowFunction="count" dataDxfId="190" totalsRowDxfId="189"/>
    <tableColumn id="26" name="25" totalsRowFunction="count" dataDxfId="188" totalsRowDxfId="187"/>
    <tableColumn id="27" name="26" totalsRowFunction="count" dataDxfId="186" totalsRowDxfId="185"/>
    <tableColumn id="28" name="27" totalsRowFunction="count" dataDxfId="184" totalsRowDxfId="183"/>
    <tableColumn id="29" name="28" totalsRowFunction="count" dataDxfId="182" totalsRowDxfId="181"/>
    <tableColumn id="30" name="29" totalsRowFunction="count" dataDxfId="180" totalsRowDxfId="179"/>
    <tableColumn id="31" name="30" totalsRowFunction="sum" dataDxfId="178" totalsRowDxfId="177"/>
    <tableColumn id="32" name="31" totalsRowFunction="sum" dataDxfId="176" totalsRowDxfId="175"/>
    <tableColumn id="33" name="Totaal aantal dagen" totalsRowFunction="sum" dataDxfId="174" totalsRowDxfId="173">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id="22" name="November" displayName="November" ref="B6:AH12" totalsRowCount="1" headerRowDxfId="155" dataDxfId="154" totalsRowDxfId="153">
  <tableColumns count="33">
    <tableColumn id="1" name="Naam van werknemer" totalsRowFunction="custom" dataDxfId="152" totalsRowDxfId="151" dataCellStyle="Werknemer">
      <totalsRowFormula>MonthName&amp;" totaal"</totalsRowFormula>
    </tableColumn>
    <tableColumn id="2" name="1" totalsRowFunction="count" dataDxfId="150" totalsRowDxfId="149"/>
    <tableColumn id="3" name="2" totalsRowFunction="count" dataDxfId="148" totalsRowDxfId="147"/>
    <tableColumn id="4" name="3" totalsRowFunction="count" dataDxfId="146" totalsRowDxfId="145"/>
    <tableColumn id="5" name="4" totalsRowFunction="count" dataDxfId="144" totalsRowDxfId="143"/>
    <tableColumn id="6" name="5" totalsRowFunction="count" dataDxfId="142" totalsRowDxfId="141"/>
    <tableColumn id="7" name="6" totalsRowFunction="count" dataDxfId="140" totalsRowDxfId="139"/>
    <tableColumn id="8" name="7" totalsRowFunction="count" dataDxfId="138" totalsRowDxfId="137"/>
    <tableColumn id="9" name="8" totalsRowFunction="count" dataDxfId="136" totalsRowDxfId="135"/>
    <tableColumn id="10" name="9" totalsRowFunction="count" dataDxfId="134" totalsRowDxfId="133"/>
    <tableColumn id="11" name="10" totalsRowFunction="count" dataDxfId="132" totalsRowDxfId="131"/>
    <tableColumn id="12" name="11" totalsRowFunction="count" dataDxfId="130" totalsRowDxfId="129"/>
    <tableColumn id="13" name="12" totalsRowFunction="count" dataDxfId="128" totalsRowDxfId="127"/>
    <tableColumn id="14" name="13" totalsRowFunction="count" dataDxfId="126" totalsRowDxfId="125"/>
    <tableColumn id="15" name="14" totalsRowFunction="count" dataDxfId="124" totalsRowDxfId="123"/>
    <tableColumn id="16" name="15" totalsRowFunction="count" dataDxfId="122" totalsRowDxfId="121"/>
    <tableColumn id="17" name="16" totalsRowFunction="count" dataDxfId="120" totalsRowDxfId="119"/>
    <tableColumn id="18" name="17" totalsRowFunction="count" dataDxfId="118" totalsRowDxfId="117"/>
    <tableColumn id="19" name="18" totalsRowFunction="count" dataDxfId="116" totalsRowDxfId="115"/>
    <tableColumn id="20" name="19" totalsRowFunction="count" dataDxfId="114" totalsRowDxfId="113"/>
    <tableColumn id="21" name="20" totalsRowFunction="count" dataDxfId="112" totalsRowDxfId="111"/>
    <tableColumn id="22" name="21" totalsRowFunction="count" dataDxfId="110" totalsRowDxfId="109"/>
    <tableColumn id="23" name="22" totalsRowFunction="count" dataDxfId="108" totalsRowDxfId="107"/>
    <tableColumn id="24" name="23" totalsRowFunction="count" dataDxfId="106" totalsRowDxfId="105"/>
    <tableColumn id="25" name="24" totalsRowFunction="count" dataDxfId="104" totalsRowDxfId="103"/>
    <tableColumn id="26" name="25" totalsRowFunction="count" dataDxfId="102" totalsRowDxfId="101"/>
    <tableColumn id="27" name="26" totalsRowFunction="count" dataDxfId="100" totalsRowDxfId="99"/>
    <tableColumn id="28" name="27" totalsRowFunction="count" dataDxfId="98" totalsRowDxfId="97"/>
    <tableColumn id="29" name="28" totalsRowFunction="count" dataDxfId="96" totalsRowDxfId="95"/>
    <tableColumn id="30" name="29" totalsRowFunction="count" dataDxfId="94" totalsRowDxfId="93"/>
    <tableColumn id="31" name="30" totalsRowFunction="sum" dataDxfId="92" totalsRowDxfId="91"/>
    <tableColumn id="32" name="31" totalsRowFunction="sum" dataDxfId="90" totalsRowDxfId="89"/>
    <tableColumn id="33" name="Totaal aantal dagen" totalsRowFunction="sum" dataDxfId="88" totalsRowDxfId="87">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id="12" name="December" displayName="December" ref="B6:AH12" totalsRowCount="1" headerRowDxfId="69" dataDxfId="68" totalsRowDxfId="67">
  <tableColumns count="33">
    <tableColumn id="1" name="Naam van werknemer" totalsRowFunction="custom" dataDxfId="66" totalsRowDxfId="65" dataCellStyle="Werknemer">
      <totalsRowFormula>MonthName&amp;" totaal"</totalsRowFormula>
    </tableColumn>
    <tableColumn id="2" name="1" totalsRowFunction="count" dataDxfId="64" totalsRowDxfId="63"/>
    <tableColumn id="3" name="2" totalsRowFunction="count" dataDxfId="62" totalsRowDxfId="61"/>
    <tableColumn id="4" name="3" totalsRowFunction="count" dataDxfId="60" totalsRowDxfId="59"/>
    <tableColumn id="5" name="4" totalsRowFunction="count" dataDxfId="58" totalsRowDxfId="57"/>
    <tableColumn id="6" name="5" totalsRowFunction="count" dataDxfId="56" totalsRowDxfId="55"/>
    <tableColumn id="7" name="6" totalsRowFunction="count" dataDxfId="54" totalsRowDxfId="53"/>
    <tableColumn id="8" name="7" totalsRowFunction="count" dataDxfId="52" totalsRowDxfId="51"/>
    <tableColumn id="9" name="8" totalsRowFunction="count" dataDxfId="50" totalsRowDxfId="49"/>
    <tableColumn id="10" name="9" totalsRowFunction="count" dataDxfId="48" totalsRowDxfId="47"/>
    <tableColumn id="11" name="10" totalsRowFunction="count" dataDxfId="46" totalsRowDxfId="45"/>
    <tableColumn id="12" name="11" totalsRowFunction="count" dataDxfId="44" totalsRowDxfId="43"/>
    <tableColumn id="13" name="12" totalsRowFunction="count" dataDxfId="42" totalsRowDxfId="41"/>
    <tableColumn id="14" name="13" totalsRowFunction="count" dataDxfId="40" totalsRowDxfId="39"/>
    <tableColumn id="15" name="14" totalsRowFunction="count" dataDxfId="38" totalsRowDxfId="37"/>
    <tableColumn id="16" name="15" totalsRowFunction="count" dataDxfId="36" totalsRowDxfId="35"/>
    <tableColumn id="17" name="16" totalsRowFunction="count" dataDxfId="34" totalsRowDxfId="33"/>
    <tableColumn id="18" name="17" totalsRowFunction="count" dataDxfId="32" totalsRowDxfId="31"/>
    <tableColumn id="19" name="18" totalsRowFunction="count" dataDxfId="30" totalsRowDxfId="29"/>
    <tableColumn id="20" name="19" totalsRowFunction="count" dataDxfId="28" totalsRowDxfId="27"/>
    <tableColumn id="21" name="20" totalsRowFunction="count" dataDxfId="26" totalsRowDxfId="25"/>
    <tableColumn id="22" name="21" totalsRowFunction="count" dataDxfId="24" totalsRowDxfId="23"/>
    <tableColumn id="23" name="22" totalsRowFunction="count" dataDxfId="22" totalsRowDxfId="21"/>
    <tableColumn id="24" name="23" totalsRowFunction="count" dataDxfId="20" totalsRowDxfId="19"/>
    <tableColumn id="25" name="24" totalsRowFunction="count" dataDxfId="18" totalsRowDxfId="17"/>
    <tableColumn id="26" name="25" totalsRowFunction="count" dataDxfId="16" totalsRowDxfId="15"/>
    <tableColumn id="27" name="26" totalsRowFunction="count" dataDxfId="14" totalsRowDxfId="13"/>
    <tableColumn id="28" name="27" totalsRowFunction="count" dataDxfId="12" totalsRowDxfId="11"/>
    <tableColumn id="29" name="28" totalsRowFunction="count" dataDxfId="10" totalsRowDxfId="9"/>
    <tableColumn id="30" name="29" totalsRowFunction="count" dataDxfId="8" totalsRowDxfId="7"/>
    <tableColumn id="31" name="30" totalsRowFunction="sum" dataDxfId="6" totalsRowDxfId="5"/>
    <tableColumn id="32" name="31" totalsRowFunction="sum" dataDxfId="4" totalsRowDxfId="3"/>
    <tableColumn id="33" name="Totaal aantal dagen" totalsRowFunction="sum" dataDxfId="2" totalsRowDxfId="1">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id="13" name="NaamVanWerknemer" displayName="NaamVanWerknemer" ref="B3:B8" totalsRowShown="0" dataCellStyle="Werknemer">
  <autoFilter ref="B3:B8"/>
  <tableColumns count="1">
    <tableColumn id="1"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id="2" name="Februari" displayName="Februari" ref="B6:AH11" totalsRowShown="0" headerRowDxfId="929" dataDxfId="928" totalsRowDxfId="927">
  <tableColumns count="33">
    <tableColumn id="1" name="Naam van werknemer" dataDxfId="926" totalsRowDxfId="925" dataCellStyle="Werknemer"/>
    <tableColumn id="2" name="1" dataDxfId="924" totalsRowDxfId="923"/>
    <tableColumn id="3" name="2" dataDxfId="922" totalsRowDxfId="921"/>
    <tableColumn id="4" name="3" dataDxfId="920" totalsRowDxfId="919"/>
    <tableColumn id="5" name="4" dataDxfId="918" totalsRowDxfId="917"/>
    <tableColumn id="6" name="5" dataDxfId="916" totalsRowDxfId="915"/>
    <tableColumn id="7" name="6" dataDxfId="914" totalsRowDxfId="913"/>
    <tableColumn id="8" name="7" dataDxfId="912" totalsRowDxfId="911"/>
    <tableColumn id="9" name="8" dataDxfId="910" totalsRowDxfId="909"/>
    <tableColumn id="10" name="9" dataDxfId="908" totalsRowDxfId="907"/>
    <tableColumn id="11" name="10" dataDxfId="906" totalsRowDxfId="905"/>
    <tableColumn id="12" name="11" dataDxfId="904" totalsRowDxfId="903"/>
    <tableColumn id="13" name="12" dataDxfId="902" totalsRowDxfId="901"/>
    <tableColumn id="14" name="13" dataDxfId="900" totalsRowDxfId="899"/>
    <tableColumn id="15" name="14" dataDxfId="898" totalsRowDxfId="897"/>
    <tableColumn id="16" name="15" dataDxfId="896" totalsRowDxfId="895"/>
    <tableColumn id="17" name="16" dataDxfId="894" totalsRowDxfId="893"/>
    <tableColumn id="18" name="17" dataDxfId="892" totalsRowDxfId="891"/>
    <tableColumn id="19" name="18" dataDxfId="890" totalsRowDxfId="889"/>
    <tableColumn id="20" name="19" dataDxfId="888" totalsRowDxfId="887"/>
    <tableColumn id="21" name="20" dataDxfId="886" totalsRowDxfId="885"/>
    <tableColumn id="22" name="21" dataDxfId="884" totalsRowDxfId="883"/>
    <tableColumn id="23" name="22" dataDxfId="882" totalsRowDxfId="881"/>
    <tableColumn id="24" name="23" dataDxfId="880" totalsRowDxfId="879"/>
    <tableColumn id="25" name="24" dataDxfId="878" totalsRowDxfId="877"/>
    <tableColumn id="26" name="25" dataDxfId="876" totalsRowDxfId="875"/>
    <tableColumn id="27" name="26" dataDxfId="874" totalsRowDxfId="873"/>
    <tableColumn id="28" name="27" dataDxfId="872" totalsRowDxfId="871"/>
    <tableColumn id="29" name="28" dataDxfId="870" totalsRowDxfId="869"/>
    <tableColumn id="30" name="29" dataDxfId="868" totalsRowDxfId="867"/>
    <tableColumn id="31" name=" " dataDxfId="866" totalsRowDxfId="865"/>
    <tableColumn id="32" name="  " dataDxfId="864" totalsRowDxfId="863"/>
    <tableColumn id="33" name="Totaal aantal dagen" dataDxfId="862" totalsRowDxfId="861">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id="14" name="Maart" displayName="Maart" ref="B6:AH12" totalsRowCount="1" headerRowDxfId="843" dataDxfId="842" totalsRowDxfId="841">
  <tableColumns count="33">
    <tableColumn id="1" name="Naam van werknemer" totalsRowFunction="custom" dataDxfId="840" totalsRowDxfId="839" dataCellStyle="Werknemer">
      <totalsRowFormula>MonthName&amp;" totaal"</totalsRowFormula>
    </tableColumn>
    <tableColumn id="2" name="1" totalsRowFunction="count" dataDxfId="838" totalsRowDxfId="837"/>
    <tableColumn id="3" name="2" totalsRowFunction="count" dataDxfId="836" totalsRowDxfId="835"/>
    <tableColumn id="4" name="3" totalsRowFunction="count" dataDxfId="834" totalsRowDxfId="833"/>
    <tableColumn id="5" name="4" totalsRowFunction="count" dataDxfId="832" totalsRowDxfId="831"/>
    <tableColumn id="6" name="5" totalsRowFunction="count" dataDxfId="830" totalsRowDxfId="829"/>
    <tableColumn id="7" name="6" totalsRowFunction="count" dataDxfId="828" totalsRowDxfId="827"/>
    <tableColumn id="8" name="7" totalsRowFunction="count" dataDxfId="826" totalsRowDxfId="825"/>
    <tableColumn id="9" name="8" totalsRowFunction="count" dataDxfId="824" totalsRowDxfId="823"/>
    <tableColumn id="10" name="9" totalsRowFunction="count" dataDxfId="822" totalsRowDxfId="821"/>
    <tableColumn id="11" name="10" totalsRowFunction="count" dataDxfId="820" totalsRowDxfId="819"/>
    <tableColumn id="12" name="11" totalsRowFunction="count" dataDxfId="818" totalsRowDxfId="817"/>
    <tableColumn id="13" name="12" totalsRowFunction="count" dataDxfId="816" totalsRowDxfId="815"/>
    <tableColumn id="14" name="13" totalsRowFunction="count" dataDxfId="814" totalsRowDxfId="813"/>
    <tableColumn id="15" name="14" totalsRowFunction="count" dataDxfId="812" totalsRowDxfId="811"/>
    <tableColumn id="16" name="15" totalsRowFunction="count" dataDxfId="810" totalsRowDxfId="809"/>
    <tableColumn id="17" name="16" totalsRowFunction="count" dataDxfId="808" totalsRowDxfId="807"/>
    <tableColumn id="18" name="17" totalsRowFunction="count" dataDxfId="806" totalsRowDxfId="805"/>
    <tableColumn id="19" name="18" totalsRowFunction="count" dataDxfId="804" totalsRowDxfId="803"/>
    <tableColumn id="20" name="19" totalsRowFunction="count" dataDxfId="802" totalsRowDxfId="801"/>
    <tableColumn id="21" name="20" totalsRowFunction="count" dataDxfId="800" totalsRowDxfId="799"/>
    <tableColumn id="22" name="21" totalsRowFunction="count" dataDxfId="798" totalsRowDxfId="797"/>
    <tableColumn id="23" name="22" totalsRowFunction="count" dataDxfId="796" totalsRowDxfId="795"/>
    <tableColumn id="24" name="23" totalsRowFunction="count" dataDxfId="794" totalsRowDxfId="793"/>
    <tableColumn id="25" name="24" totalsRowFunction="count" dataDxfId="792" totalsRowDxfId="791"/>
    <tableColumn id="26" name="25" totalsRowFunction="count" dataDxfId="790" totalsRowDxfId="789"/>
    <tableColumn id="27" name="26" totalsRowFunction="count" dataDxfId="788" totalsRowDxfId="787"/>
    <tableColumn id="28" name="27" totalsRowFunction="count" dataDxfId="786" totalsRowDxfId="785"/>
    <tableColumn id="29" name="28" totalsRowFunction="count" dataDxfId="784" totalsRowDxfId="783"/>
    <tableColumn id="30" name="29" totalsRowFunction="count" dataDxfId="782" totalsRowDxfId="781"/>
    <tableColumn id="31" name="30" totalsRowFunction="sum" dataDxfId="780" totalsRowDxfId="779"/>
    <tableColumn id="32" name="31" totalsRowFunction="sum" dataDxfId="778" totalsRowDxfId="777"/>
    <tableColumn id="33" name="Totaal aantal dagen" totalsRowFunction="sum" dataDxfId="776" totalsRowDxfId="775">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id="15" name="April" displayName="April" ref="B6:AH12" totalsRowCount="1" headerRowDxfId="757" dataDxfId="756" totalsRowDxfId="755">
  <tableColumns count="33">
    <tableColumn id="1" name="Naam van werknemer" totalsRowFunction="custom" dataDxfId="754" totalsRowDxfId="753" dataCellStyle="Werknemer">
      <totalsRowFormula>MonthName&amp;" totaal"</totalsRowFormula>
    </tableColumn>
    <tableColumn id="2" name="1" totalsRowFunction="count" dataDxfId="752" totalsRowDxfId="751"/>
    <tableColumn id="3" name="2" totalsRowFunction="count" dataDxfId="750" totalsRowDxfId="749"/>
    <tableColumn id="4" name="3" totalsRowFunction="count" dataDxfId="748" totalsRowDxfId="747"/>
    <tableColumn id="5" name="4" totalsRowFunction="count" dataDxfId="746" totalsRowDxfId="745"/>
    <tableColumn id="6" name="5" totalsRowFunction="count" dataDxfId="744" totalsRowDxfId="743"/>
    <tableColumn id="7" name="6" totalsRowFunction="count" dataDxfId="742" totalsRowDxfId="741"/>
    <tableColumn id="8" name="7" totalsRowFunction="count" dataDxfId="740" totalsRowDxfId="739"/>
    <tableColumn id="9" name="8" totalsRowFunction="count" dataDxfId="738" totalsRowDxfId="737"/>
    <tableColumn id="10" name="9" totalsRowFunction="count" dataDxfId="736" totalsRowDxfId="735"/>
    <tableColumn id="11" name="10" totalsRowFunction="count" dataDxfId="734" totalsRowDxfId="733"/>
    <tableColumn id="12" name="11" totalsRowFunction="count" dataDxfId="732" totalsRowDxfId="731"/>
    <tableColumn id="13" name="12" totalsRowFunction="count" dataDxfId="730" totalsRowDxfId="729"/>
    <tableColumn id="14" name="13" totalsRowFunction="count" dataDxfId="728" totalsRowDxfId="727"/>
    <tableColumn id="15" name="14" totalsRowFunction="count" dataDxfId="726" totalsRowDxfId="725"/>
    <tableColumn id="16" name="15" totalsRowFunction="count" dataDxfId="724" totalsRowDxfId="723"/>
    <tableColumn id="17" name="16" totalsRowFunction="count" dataDxfId="722" totalsRowDxfId="721"/>
    <tableColumn id="18" name="17" totalsRowFunction="count" dataDxfId="720" totalsRowDxfId="719"/>
    <tableColumn id="19" name="18" totalsRowFunction="count" dataDxfId="718" totalsRowDxfId="717"/>
    <tableColumn id="20" name="19" totalsRowFunction="count" dataDxfId="716" totalsRowDxfId="715"/>
    <tableColumn id="21" name="20" totalsRowFunction="count" dataDxfId="714" totalsRowDxfId="713"/>
    <tableColumn id="22" name="21" totalsRowFunction="count" dataDxfId="712" totalsRowDxfId="711"/>
    <tableColumn id="23" name="22" totalsRowFunction="count" dataDxfId="710" totalsRowDxfId="709"/>
    <tableColumn id="24" name="23" totalsRowFunction="count" dataDxfId="708" totalsRowDxfId="707"/>
    <tableColumn id="25" name="24" totalsRowFunction="count" dataDxfId="706" totalsRowDxfId="705"/>
    <tableColumn id="26" name="25" totalsRowFunction="count" dataDxfId="704" totalsRowDxfId="703"/>
    <tableColumn id="27" name="26" totalsRowFunction="count" dataDxfId="702" totalsRowDxfId="701"/>
    <tableColumn id="28" name="27" totalsRowFunction="count" dataDxfId="700" totalsRowDxfId="699"/>
    <tableColumn id="29" name="28" totalsRowFunction="count" dataDxfId="698" totalsRowDxfId="697"/>
    <tableColumn id="30" name="29" totalsRowFunction="count" dataDxfId="696" totalsRowDxfId="695"/>
    <tableColumn id="31" name="30" totalsRowFunction="sum" dataDxfId="694" totalsRowDxfId="693"/>
    <tableColumn id="32" name="31" totalsRowFunction="sum" dataDxfId="692" totalsRowDxfId="691"/>
    <tableColumn id="33" name="Totaal aantal dagen" totalsRowFunction="sum" dataDxfId="690" totalsRowDxfId="689">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id="16" name="Mei" displayName="Mei" ref="B6:AH12" totalsRowCount="1" headerRowDxfId="671" dataDxfId="670" totalsRowDxfId="669">
  <tableColumns count="33">
    <tableColumn id="1" name="Naam van werknemer" totalsRowFunction="custom" dataDxfId="668" totalsRowDxfId="667" dataCellStyle="Werknemer">
      <totalsRowFormula>MonthName&amp;" totaal"</totalsRowFormula>
    </tableColumn>
    <tableColumn id="2" name="1" totalsRowFunction="count" dataDxfId="666" totalsRowDxfId="665"/>
    <tableColumn id="3" name="2" totalsRowFunction="count" dataDxfId="664" totalsRowDxfId="663"/>
    <tableColumn id="4" name="3" totalsRowFunction="count" dataDxfId="662" totalsRowDxfId="661"/>
    <tableColumn id="5" name="4" totalsRowFunction="count" dataDxfId="660" totalsRowDxfId="659"/>
    <tableColumn id="6" name="5" totalsRowFunction="count" dataDxfId="658" totalsRowDxfId="657"/>
    <tableColumn id="7" name="6" totalsRowFunction="count" dataDxfId="656" totalsRowDxfId="655"/>
    <tableColumn id="8" name="7" totalsRowFunction="count" dataDxfId="654" totalsRowDxfId="653"/>
    <tableColumn id="9" name="8" totalsRowFunction="count" dataDxfId="652" totalsRowDxfId="651"/>
    <tableColumn id="10" name="9" totalsRowFunction="count" dataDxfId="650" totalsRowDxfId="649"/>
    <tableColumn id="11" name="10" totalsRowFunction="count" dataDxfId="648" totalsRowDxfId="647"/>
    <tableColumn id="12" name="11" totalsRowFunction="count" dataDxfId="646" totalsRowDxfId="645"/>
    <tableColumn id="13" name="12" totalsRowFunction="count" dataDxfId="644" totalsRowDxfId="643"/>
    <tableColumn id="14" name="13" totalsRowFunction="count" dataDxfId="642" totalsRowDxfId="641"/>
    <tableColumn id="15" name="14" totalsRowFunction="count" dataDxfId="640" totalsRowDxfId="639"/>
    <tableColumn id="16" name="15" totalsRowFunction="count" dataDxfId="638" totalsRowDxfId="637"/>
    <tableColumn id="17" name="16" totalsRowFunction="count" dataDxfId="636" totalsRowDxfId="635"/>
    <tableColumn id="18" name="17" totalsRowFunction="count" dataDxfId="634" totalsRowDxfId="633"/>
    <tableColumn id="19" name="18" totalsRowFunction="count" dataDxfId="632" totalsRowDxfId="631"/>
    <tableColumn id="20" name="19" totalsRowFunction="count" dataDxfId="630" totalsRowDxfId="629"/>
    <tableColumn id="21" name="20" totalsRowFunction="count" dataDxfId="628" totalsRowDxfId="627"/>
    <tableColumn id="22" name="21" totalsRowFunction="count" dataDxfId="626" totalsRowDxfId="625"/>
    <tableColumn id="23" name="22" totalsRowFunction="count" dataDxfId="624" totalsRowDxfId="623"/>
    <tableColumn id="24" name="23" totalsRowFunction="count" dataDxfId="622" totalsRowDxfId="621"/>
    <tableColumn id="25" name="24" totalsRowFunction="count" dataDxfId="620" totalsRowDxfId="619"/>
    <tableColumn id="26" name="25" totalsRowFunction="count" dataDxfId="618" totalsRowDxfId="617"/>
    <tableColumn id="27" name="26" totalsRowFunction="count" dataDxfId="616" totalsRowDxfId="615"/>
    <tableColumn id="28" name="27" totalsRowFunction="count" dataDxfId="614" totalsRowDxfId="613"/>
    <tableColumn id="29" name="28" totalsRowFunction="count" dataDxfId="612" totalsRowDxfId="611"/>
    <tableColumn id="30" name="29" totalsRowFunction="count" dataDxfId="610" totalsRowDxfId="609"/>
    <tableColumn id="31" name="30" totalsRowFunction="sum" dataDxfId="608" totalsRowDxfId="607"/>
    <tableColumn id="32" name="31" totalsRowFunction="sum" dataDxfId="606" totalsRowDxfId="605"/>
    <tableColumn id="33" name="Totaal aantal dagen" totalsRowFunction="sum" dataDxfId="604" totalsRowDxfId="603">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id="17" name="Juni" displayName="Juni" ref="B6:AH12" totalsRowCount="1" headerRowDxfId="585" dataDxfId="584" totalsRowDxfId="583">
  <tableColumns count="33">
    <tableColumn id="1" name="Naam van werknemer" totalsRowFunction="custom" dataDxfId="582" totalsRowDxfId="581" dataCellStyle="Werknemer">
      <totalsRowFormula>MonthName&amp;" totaal"</totalsRowFormula>
    </tableColumn>
    <tableColumn id="2" name="1" totalsRowFunction="count" dataDxfId="580" totalsRowDxfId="579"/>
    <tableColumn id="3" name="2" totalsRowFunction="count" dataDxfId="578" totalsRowDxfId="577"/>
    <tableColumn id="4" name="3" totalsRowFunction="count" dataDxfId="576" totalsRowDxfId="575"/>
    <tableColumn id="5" name="4" totalsRowFunction="count" dataDxfId="574" totalsRowDxfId="573"/>
    <tableColumn id="6" name="5" totalsRowFunction="count" dataDxfId="572" totalsRowDxfId="571"/>
    <tableColumn id="7" name="6" totalsRowFunction="count" dataDxfId="570" totalsRowDxfId="569"/>
    <tableColumn id="8" name="7" totalsRowFunction="count" dataDxfId="568" totalsRowDxfId="567"/>
    <tableColumn id="9" name="8" totalsRowFunction="count" dataDxfId="566" totalsRowDxfId="565"/>
    <tableColumn id="10" name="9" totalsRowFunction="count" dataDxfId="564" totalsRowDxfId="563"/>
    <tableColumn id="11" name="10" totalsRowFunction="count" dataDxfId="562" totalsRowDxfId="561"/>
    <tableColumn id="12" name="11" totalsRowFunction="count" dataDxfId="560" totalsRowDxfId="559"/>
    <tableColumn id="13" name="12" totalsRowFunction="count" dataDxfId="558" totalsRowDxfId="557"/>
    <tableColumn id="14" name="13" totalsRowFunction="count" dataDxfId="556" totalsRowDxfId="555"/>
    <tableColumn id="15" name="14" totalsRowFunction="count" dataDxfId="554" totalsRowDxfId="553"/>
    <tableColumn id="16" name="15" totalsRowFunction="count" dataDxfId="552" totalsRowDxfId="551"/>
    <tableColumn id="17" name="16" totalsRowFunction="count" dataDxfId="550" totalsRowDxfId="549"/>
    <tableColumn id="18" name="17" totalsRowFunction="count" dataDxfId="548" totalsRowDxfId="547"/>
    <tableColumn id="19" name="18" totalsRowFunction="count" dataDxfId="546" totalsRowDxfId="545"/>
    <tableColumn id="20" name="19" totalsRowFunction="count" dataDxfId="544" totalsRowDxfId="543"/>
    <tableColumn id="21" name="20" totalsRowFunction="count" dataDxfId="542" totalsRowDxfId="541"/>
    <tableColumn id="22" name="21" totalsRowFunction="count" dataDxfId="540" totalsRowDxfId="539"/>
    <tableColumn id="23" name="22" totalsRowFunction="count" dataDxfId="538" totalsRowDxfId="537"/>
    <tableColumn id="24" name="23" totalsRowFunction="count" dataDxfId="536" totalsRowDxfId="535"/>
    <tableColumn id="25" name="24" totalsRowFunction="count" dataDxfId="534" totalsRowDxfId="533"/>
    <tableColumn id="26" name="25" totalsRowFunction="count" dataDxfId="532" totalsRowDxfId="531"/>
    <tableColumn id="27" name="26" totalsRowFunction="count" dataDxfId="530" totalsRowDxfId="529"/>
    <tableColumn id="28" name="27" totalsRowFunction="count" dataDxfId="528" totalsRowDxfId="527"/>
    <tableColumn id="29" name="28" totalsRowFunction="count" dataDxfId="526" totalsRowDxfId="525"/>
    <tableColumn id="30" name="29" totalsRowFunction="count" dataDxfId="524" totalsRowDxfId="523"/>
    <tableColumn id="31" name="30" totalsRowFunction="sum" dataDxfId="522" totalsRowDxfId="521"/>
    <tableColumn id="32" name="31" totalsRowFunction="sum" dataDxfId="520" totalsRowDxfId="519"/>
    <tableColumn id="33" name="Totaal aantal dagen" totalsRowFunction="sum" dataDxfId="518" totalsRowDxfId="517">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id="18" name="Juli" displayName="Juli" ref="B6:AH12" totalsRowCount="1" headerRowDxfId="499" dataDxfId="498" totalsRowDxfId="497">
  <tableColumns count="33">
    <tableColumn id="1" name="Naam van werknemer" totalsRowFunction="custom" dataDxfId="496" totalsRowDxfId="495" dataCellStyle="Werknemer">
      <totalsRowFormula>MonthName&amp;" totaal"</totalsRowFormula>
    </tableColumn>
    <tableColumn id="2" name="1" totalsRowFunction="count" dataDxfId="494" totalsRowDxfId="493"/>
    <tableColumn id="3" name="2" totalsRowFunction="count" dataDxfId="492" totalsRowDxfId="491"/>
    <tableColumn id="4" name="3" totalsRowFunction="count" dataDxfId="490" totalsRowDxfId="489"/>
    <tableColumn id="5" name="4" totalsRowFunction="count" dataDxfId="488" totalsRowDxfId="487"/>
    <tableColumn id="6" name="5" totalsRowFunction="count" dataDxfId="486" totalsRowDxfId="485"/>
    <tableColumn id="7" name="6" totalsRowFunction="count" dataDxfId="484" totalsRowDxfId="483"/>
    <tableColumn id="8" name="7" totalsRowFunction="count" dataDxfId="482" totalsRowDxfId="481"/>
    <tableColumn id="9" name="8" totalsRowFunction="count" dataDxfId="480" totalsRowDxfId="479"/>
    <tableColumn id="10" name="9" totalsRowFunction="count" dataDxfId="478" totalsRowDxfId="477"/>
    <tableColumn id="11" name="10" totalsRowFunction="count" dataDxfId="476" totalsRowDxfId="475"/>
    <tableColumn id="12" name="11" totalsRowFunction="count" dataDxfId="474" totalsRowDxfId="473"/>
    <tableColumn id="13" name="12" totalsRowFunction="count" dataDxfId="472" totalsRowDxfId="471"/>
    <tableColumn id="14" name="13" totalsRowFunction="count" dataDxfId="470" totalsRowDxfId="469"/>
    <tableColumn id="15" name="14" totalsRowFunction="count" dataDxfId="468" totalsRowDxfId="467"/>
    <tableColumn id="16" name="15" totalsRowFunction="count" dataDxfId="466" totalsRowDxfId="465"/>
    <tableColumn id="17" name="16" totalsRowFunction="count" dataDxfId="464" totalsRowDxfId="463"/>
    <tableColumn id="18" name="17" totalsRowFunction="count" dataDxfId="462" totalsRowDxfId="461"/>
    <tableColumn id="19" name="18" totalsRowFunction="count" dataDxfId="460" totalsRowDxfId="459"/>
    <tableColumn id="20" name="19" totalsRowFunction="count" dataDxfId="458" totalsRowDxfId="457"/>
    <tableColumn id="21" name="20" totalsRowFunction="count" dataDxfId="456" totalsRowDxfId="455"/>
    <tableColumn id="22" name="21" totalsRowFunction="count" dataDxfId="454" totalsRowDxfId="453"/>
    <tableColumn id="23" name="22" totalsRowFunction="count" dataDxfId="452" totalsRowDxfId="451"/>
    <tableColumn id="24" name="23" totalsRowFunction="count" dataDxfId="450" totalsRowDxfId="449"/>
    <tableColumn id="25" name="24" totalsRowFunction="count" dataDxfId="448" totalsRowDxfId="447"/>
    <tableColumn id="26" name="25" totalsRowFunction="count" dataDxfId="446" totalsRowDxfId="445"/>
    <tableColumn id="27" name="26" totalsRowFunction="count" dataDxfId="444" totalsRowDxfId="443"/>
    <tableColumn id="28" name="27" totalsRowFunction="count" dataDxfId="442" totalsRowDxfId="441"/>
    <tableColumn id="29" name="28" totalsRowFunction="count" dataDxfId="440" totalsRowDxfId="439"/>
    <tableColumn id="30" name="29" totalsRowFunction="count" dataDxfId="438" totalsRowDxfId="437"/>
    <tableColumn id="31" name="30" totalsRowFunction="sum" dataDxfId="436" totalsRowDxfId="435"/>
    <tableColumn id="32" name="31" totalsRowFunction="sum" dataDxfId="434" totalsRowDxfId="433"/>
    <tableColumn id="33" name="Totaal aantal dagen" totalsRowFunction="sum" dataDxfId="432" totalsRowDxfId="431">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id="19" name="Augustus" displayName="Augustus" ref="B6:AH12" totalsRowCount="1" headerRowDxfId="413" dataDxfId="412" totalsRowDxfId="411">
  <tableColumns count="33">
    <tableColumn id="1" name="Naam van werknemer" totalsRowFunction="custom" dataDxfId="410" totalsRowDxfId="409" dataCellStyle="Werknemer">
      <totalsRowFormula>MonthName&amp;" totaal"</totalsRowFormula>
    </tableColumn>
    <tableColumn id="2" name="1" totalsRowFunction="count" dataDxfId="408" totalsRowDxfId="407"/>
    <tableColumn id="3" name="2" totalsRowFunction="count" dataDxfId="406" totalsRowDxfId="405"/>
    <tableColumn id="4" name="3" totalsRowFunction="count" dataDxfId="404" totalsRowDxfId="403"/>
    <tableColumn id="5" name="4" totalsRowFunction="count" dataDxfId="402" totalsRowDxfId="401"/>
    <tableColumn id="6" name="5" totalsRowFunction="count" dataDxfId="400" totalsRowDxfId="399"/>
    <tableColumn id="7" name="6" totalsRowFunction="count" dataDxfId="398" totalsRowDxfId="397"/>
    <tableColumn id="8" name="7" totalsRowFunction="count" dataDxfId="396" totalsRowDxfId="395"/>
    <tableColumn id="9" name="8" totalsRowFunction="count" dataDxfId="394" totalsRowDxfId="393"/>
    <tableColumn id="10" name="9" totalsRowFunction="count" dataDxfId="392" totalsRowDxfId="391"/>
    <tableColumn id="11" name="10" totalsRowFunction="count" dataDxfId="390" totalsRowDxfId="389"/>
    <tableColumn id="12" name="11" totalsRowFunction="count" dataDxfId="388" totalsRowDxfId="387"/>
    <tableColumn id="13" name="12" totalsRowFunction="count" dataDxfId="386" totalsRowDxfId="385"/>
    <tableColumn id="14" name="13" totalsRowFunction="count" dataDxfId="384" totalsRowDxfId="383"/>
    <tableColumn id="15" name="14" totalsRowFunction="count" dataDxfId="382" totalsRowDxfId="381"/>
    <tableColumn id="16" name="15" totalsRowFunction="count" dataDxfId="380" totalsRowDxfId="379"/>
    <tableColumn id="17" name="16" totalsRowFunction="count" dataDxfId="378" totalsRowDxfId="377"/>
    <tableColumn id="18" name="17" totalsRowFunction="count" dataDxfId="376" totalsRowDxfId="375"/>
    <tableColumn id="19" name="18" totalsRowFunction="count" dataDxfId="374" totalsRowDxfId="373"/>
    <tableColumn id="20" name="19" totalsRowFunction="count" dataDxfId="372" totalsRowDxfId="371"/>
    <tableColumn id="21" name="20" totalsRowFunction="count" dataDxfId="370" totalsRowDxfId="369"/>
    <tableColumn id="22" name="21" totalsRowFunction="count" dataDxfId="368" totalsRowDxfId="367"/>
    <tableColumn id="23" name="22" totalsRowFunction="count" dataDxfId="366" totalsRowDxfId="365"/>
    <tableColumn id="24" name="23" totalsRowFunction="count" dataDxfId="364" totalsRowDxfId="363"/>
    <tableColumn id="25" name="24" totalsRowFunction="count" dataDxfId="362" totalsRowDxfId="361"/>
    <tableColumn id="26" name="25" totalsRowFunction="count" dataDxfId="360" totalsRowDxfId="359"/>
    <tableColumn id="27" name="26" totalsRowFunction="count" dataDxfId="358" totalsRowDxfId="357"/>
    <tableColumn id="28" name="27" totalsRowFunction="count" dataDxfId="356" totalsRowDxfId="355"/>
    <tableColumn id="29" name="28" totalsRowFunction="count" dataDxfId="354" totalsRowDxfId="353"/>
    <tableColumn id="30" name="29" totalsRowFunction="count" dataDxfId="352" totalsRowDxfId="351"/>
    <tableColumn id="31" name="30" totalsRowFunction="sum" dataDxfId="350" totalsRowDxfId="349"/>
    <tableColumn id="32" name="31" totalsRowFunction="sum" dataDxfId="348" totalsRowDxfId="347"/>
    <tableColumn id="33" name="Totaal aantal dagen" totalsRowFunction="sum" dataDxfId="346" totalsRowDxfId="345">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id="20" name="September" displayName="September" ref="B6:AH12" totalsRowCount="1" headerRowDxfId="327" dataDxfId="326" totalsRowDxfId="325">
  <tableColumns count="33">
    <tableColumn id="1" name="Naam van werknemer" totalsRowFunction="custom" dataDxfId="324" totalsRowDxfId="323" dataCellStyle="Werknemer">
      <totalsRowFormula>MonthName&amp;" totaal"</totalsRowFormula>
    </tableColumn>
    <tableColumn id="2" name="1" totalsRowFunction="count" dataDxfId="322" totalsRowDxfId="321"/>
    <tableColumn id="3" name="2" totalsRowFunction="count" dataDxfId="320" totalsRowDxfId="319"/>
    <tableColumn id="4" name="3" totalsRowFunction="count" dataDxfId="318" totalsRowDxfId="317"/>
    <tableColumn id="5" name="4" totalsRowFunction="count" dataDxfId="316" totalsRowDxfId="315"/>
    <tableColumn id="6" name="5" totalsRowFunction="count" dataDxfId="314" totalsRowDxfId="313"/>
    <tableColumn id="7" name="6" totalsRowFunction="count" dataDxfId="312" totalsRowDxfId="311"/>
    <tableColumn id="8" name="7" totalsRowFunction="count" dataDxfId="310" totalsRowDxfId="309"/>
    <tableColumn id="9" name="8" totalsRowFunction="count" dataDxfId="308" totalsRowDxfId="307"/>
    <tableColumn id="10" name="9" totalsRowFunction="count" dataDxfId="306" totalsRowDxfId="305"/>
    <tableColumn id="11" name="10" totalsRowFunction="count" dataDxfId="304" totalsRowDxfId="303"/>
    <tableColumn id="12" name="11" totalsRowFunction="count" dataDxfId="302" totalsRowDxfId="301"/>
    <tableColumn id="13" name="12" totalsRowFunction="count" dataDxfId="300" totalsRowDxfId="299"/>
    <tableColumn id="14" name="13" totalsRowFunction="count" dataDxfId="298" totalsRowDxfId="297"/>
    <tableColumn id="15" name="14" totalsRowFunction="count" dataDxfId="296" totalsRowDxfId="295"/>
    <tableColumn id="16" name="15" totalsRowFunction="count" dataDxfId="294" totalsRowDxfId="293"/>
    <tableColumn id="17" name="16" totalsRowFunction="count" dataDxfId="292" totalsRowDxfId="291"/>
    <tableColumn id="18" name="17" totalsRowFunction="count" dataDxfId="290" totalsRowDxfId="289"/>
    <tableColumn id="19" name="18" totalsRowFunction="count" dataDxfId="288" totalsRowDxfId="287"/>
    <tableColumn id="20" name="19" totalsRowFunction="count" dataDxfId="286" totalsRowDxfId="285"/>
    <tableColumn id="21" name="20" totalsRowFunction="count" dataDxfId="284" totalsRowDxfId="283"/>
    <tableColumn id="22" name="21" totalsRowFunction="count" dataDxfId="282" totalsRowDxfId="281"/>
    <tableColumn id="23" name="22" totalsRowFunction="count" dataDxfId="280" totalsRowDxfId="279"/>
    <tableColumn id="24" name="23" totalsRowFunction="count" dataDxfId="278" totalsRowDxfId="277"/>
    <tableColumn id="25" name="24" totalsRowFunction="count" dataDxfId="276" totalsRowDxfId="275"/>
    <tableColumn id="26" name="25" totalsRowFunction="count" dataDxfId="274" totalsRowDxfId="273"/>
    <tableColumn id="27" name="26" totalsRowFunction="count" dataDxfId="272" totalsRowDxfId="271"/>
    <tableColumn id="28" name="27" totalsRowFunction="count" dataDxfId="270" totalsRowDxfId="269"/>
    <tableColumn id="29" name="28" totalsRowFunction="count" dataDxfId="268" totalsRowDxfId="267"/>
    <tableColumn id="30" name="29" totalsRowFunction="count" dataDxfId="266" totalsRowDxfId="265"/>
    <tableColumn id="31" name="30" totalsRowFunction="sum" dataDxfId="264" totalsRowDxfId="263"/>
    <tableColumn id="32" name="31" totalsRowFunction="sum" dataDxfId="262" totalsRowDxfId="261"/>
    <tableColumn id="33" name="Totaal aantal dagen" totalsRowFunction="sum" dataDxfId="260" totalsRowDxfId="259">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pageSetUpPr fitToPage="1"/>
  </sheetPr>
  <dimension ref="A1:AI17"/>
  <sheetViews>
    <sheetView showGridLines="0" tabSelected="1" zoomScale="90" zoomScaleNormal="90" workbookViewId="0">
      <selection activeCell="AH11" sqref="AH11"/>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0.7109375" customWidth="1"/>
  </cols>
  <sheetData>
    <row r="1" spans="1:35" ht="50.1" customHeight="1" x14ac:dyDescent="0.25">
      <c r="A1" s="12"/>
      <c r="B1" s="9" t="s">
        <v>0</v>
      </c>
    </row>
    <row r="2" spans="1:35"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c r="X2" s="21"/>
      <c r="Y2" s="22"/>
      <c r="Z2" s="22"/>
      <c r="AA2" s="22"/>
      <c r="AB2" s="26"/>
      <c r="AC2" s="49"/>
      <c r="AD2" s="49"/>
      <c r="AE2" s="49"/>
    </row>
    <row r="3" spans="1:35" ht="15" customHeight="1" x14ac:dyDescent="0.25">
      <c r="AH3" s="13" t="s">
        <v>38</v>
      </c>
    </row>
    <row r="4" spans="1:35" ht="30" customHeight="1" thickBot="1" x14ac:dyDescent="0.3">
      <c r="B4" s="31" t="s">
        <v>1</v>
      </c>
      <c r="C4" s="48" t="s">
        <v>4</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31">
        <v>2020</v>
      </c>
      <c r="AI4" s="32"/>
    </row>
    <row r="5" spans="1:35" ht="25.5" customHeight="1" x14ac:dyDescent="0.25">
      <c r="B5" s="30"/>
      <c r="C5" s="40" t="str">
        <f>TEXT(WEEKDAY(DATE(CalendarYear,1,1),1),"aaa")</f>
        <v>wo</v>
      </c>
      <c r="D5" s="40" t="str">
        <f>TEXT(WEEKDAY(DATE(CalendarYear,1,2),1),"aaa")</f>
        <v>do</v>
      </c>
      <c r="E5" s="40" t="str">
        <f>TEXT(WEEKDAY(DATE(CalendarYear,1,3),1),"aaa")</f>
        <v>vr</v>
      </c>
      <c r="F5" s="40" t="str">
        <f>TEXT(WEEKDAY(DATE(CalendarYear,1,4),1),"aaa")</f>
        <v>za</v>
      </c>
      <c r="G5" s="40" t="str">
        <f>TEXT(WEEKDAY(DATE(CalendarYear,1,5),1),"aaa")</f>
        <v>zo</v>
      </c>
      <c r="H5" s="40" t="str">
        <f>TEXT(WEEKDAY(DATE(CalendarYear,1,6),1),"aaa")</f>
        <v>ma</v>
      </c>
      <c r="I5" s="40" t="str">
        <f>TEXT(WEEKDAY(DATE(CalendarYear,1,7),1),"aaa")</f>
        <v>di</v>
      </c>
      <c r="J5" s="40" t="str">
        <f>TEXT(WEEKDAY(DATE(CalendarYear,1,8),1),"aaa")</f>
        <v>wo</v>
      </c>
      <c r="K5" s="40" t="str">
        <f>TEXT(WEEKDAY(DATE(CalendarYear,1,9),1),"aaa")</f>
        <v>do</v>
      </c>
      <c r="L5" s="40" t="str">
        <f>TEXT(WEEKDAY(DATE(CalendarYear,1,10),1),"aaa")</f>
        <v>vr</v>
      </c>
      <c r="M5" s="40" t="str">
        <f>TEXT(WEEKDAY(DATE(CalendarYear,1,11),1),"aaa")</f>
        <v>za</v>
      </c>
      <c r="N5" s="40" t="str">
        <f>TEXT(WEEKDAY(DATE(CalendarYear,1,12),1),"aaa")</f>
        <v>zo</v>
      </c>
      <c r="O5" s="40" t="str">
        <f>TEXT(WEEKDAY(DATE(CalendarYear,1,13),1),"aaa")</f>
        <v>ma</v>
      </c>
      <c r="P5" s="40" t="str">
        <f>TEXT(WEEKDAY(DATE(CalendarYear,1,14),1),"aaa")</f>
        <v>di</v>
      </c>
      <c r="Q5" s="40" t="str">
        <f>TEXT(WEEKDAY(DATE(CalendarYear,1,15),1),"aaa")</f>
        <v>wo</v>
      </c>
      <c r="R5" s="40" t="str">
        <f>TEXT(WEEKDAY(DATE(CalendarYear,1,16),1),"aaa")</f>
        <v>do</v>
      </c>
      <c r="S5" s="40" t="str">
        <f>TEXT(WEEKDAY(DATE(CalendarYear,1,17),1),"aaa")</f>
        <v>vr</v>
      </c>
      <c r="T5" s="40" t="str">
        <f>TEXT(WEEKDAY(DATE(CalendarYear,1,18),1),"aaa")</f>
        <v>za</v>
      </c>
      <c r="U5" s="40" t="str">
        <f>TEXT(WEEKDAY(DATE(CalendarYear,1,19),1),"aaa")</f>
        <v>zo</v>
      </c>
      <c r="V5" s="40" t="str">
        <f>TEXT(WEEKDAY(DATE(CalendarYear,1,20),1),"aaa")</f>
        <v>ma</v>
      </c>
      <c r="W5" s="40" t="str">
        <f>TEXT(WEEKDAY(DATE(CalendarYear,1,21),1),"aaa")</f>
        <v>di</v>
      </c>
      <c r="X5" s="40" t="str">
        <f>TEXT(WEEKDAY(DATE(CalendarYear,1,22),1),"aaa")</f>
        <v>wo</v>
      </c>
      <c r="Y5" s="40" t="str">
        <f>TEXT(WEEKDAY(DATE(CalendarYear,1,23),1),"aaa")</f>
        <v>do</v>
      </c>
      <c r="Z5" s="40" t="str">
        <f>TEXT(WEEKDAY(DATE(CalendarYear,1,24),1),"aaa")</f>
        <v>vr</v>
      </c>
      <c r="AA5" s="40" t="str">
        <f>TEXT(WEEKDAY(DATE(CalendarYear,1,25),1),"aaa")</f>
        <v>za</v>
      </c>
      <c r="AB5" s="40" t="str">
        <f>TEXT(WEEKDAY(DATE(CalendarYear,1,26),1),"aaa")</f>
        <v>zo</v>
      </c>
      <c r="AC5" s="40" t="str">
        <f>TEXT(WEEKDAY(DATE(CalendarYear,1,27),1),"aaa")</f>
        <v>ma</v>
      </c>
      <c r="AD5" s="40" t="str">
        <f>TEXT(WEEKDAY(DATE(CalendarYear,1,28),1),"aaa")</f>
        <v>di</v>
      </c>
      <c r="AE5" s="40" t="str">
        <f>TEXT(WEEKDAY(DATE(CalendarYear,1,29),1),"aaa")</f>
        <v>wo</v>
      </c>
      <c r="AF5" s="40" t="str">
        <f>TEXT(WEEKDAY(DATE(CalendarYear,1,30),1),"aaa")</f>
        <v>do</v>
      </c>
      <c r="AG5" s="40" t="str">
        <f>TEXT(WEEKDAY(DATE(CalendarYear,1,31),1),"aaa")</f>
        <v>vr</v>
      </c>
      <c r="AH5" s="34" t="s">
        <v>66</v>
      </c>
      <c r="AI5" s="36" t="s">
        <v>68</v>
      </c>
    </row>
    <row r="6" spans="1:35" ht="25.5" customHeight="1" thickBot="1" x14ac:dyDescent="0.3">
      <c r="B6" s="42" t="s">
        <v>2</v>
      </c>
      <c r="C6" s="41" t="s">
        <v>5</v>
      </c>
      <c r="D6" s="41" t="s">
        <v>6</v>
      </c>
      <c r="E6" s="41" t="s">
        <v>7</v>
      </c>
      <c r="F6" s="41" t="s">
        <v>8</v>
      </c>
      <c r="G6" s="41" t="s">
        <v>10</v>
      </c>
      <c r="H6" s="41" t="s">
        <v>11</v>
      </c>
      <c r="I6" s="41" t="s">
        <v>12</v>
      </c>
      <c r="J6" s="41" t="s">
        <v>13</v>
      </c>
      <c r="K6" s="41" t="s">
        <v>14</v>
      </c>
      <c r="L6" s="41" t="s">
        <v>16</v>
      </c>
      <c r="M6" s="41" t="s">
        <v>17</v>
      </c>
      <c r="N6" s="41" t="s">
        <v>18</v>
      </c>
      <c r="O6" s="41" t="s">
        <v>19</v>
      </c>
      <c r="P6" s="41" t="s">
        <v>20</v>
      </c>
      <c r="Q6" s="41" t="s">
        <v>21</v>
      </c>
      <c r="R6" s="41" t="s">
        <v>22</v>
      </c>
      <c r="S6" s="41" t="s">
        <v>23</v>
      </c>
      <c r="T6" s="41" t="s">
        <v>24</v>
      </c>
      <c r="U6" s="41" t="s">
        <v>25</v>
      </c>
      <c r="V6" s="41" t="s">
        <v>26</v>
      </c>
      <c r="W6" s="41" t="s">
        <v>27</v>
      </c>
      <c r="X6" s="41" t="s">
        <v>28</v>
      </c>
      <c r="Y6" s="41" t="s">
        <v>29</v>
      </c>
      <c r="Z6" s="41" t="s">
        <v>30</v>
      </c>
      <c r="AA6" s="41" t="s">
        <v>31</v>
      </c>
      <c r="AB6" s="41" t="s">
        <v>32</v>
      </c>
      <c r="AC6" s="41" t="s">
        <v>33</v>
      </c>
      <c r="AD6" s="41" t="s">
        <v>34</v>
      </c>
      <c r="AE6" s="41" t="s">
        <v>35</v>
      </c>
      <c r="AF6" s="41" t="s">
        <v>36</v>
      </c>
      <c r="AG6" s="41" t="s">
        <v>37</v>
      </c>
      <c r="AH6" s="35" t="s">
        <v>67</v>
      </c>
      <c r="AI6" s="37" t="s">
        <v>69</v>
      </c>
    </row>
    <row r="7" spans="1:35" ht="30" customHeight="1" x14ac:dyDescent="0.25">
      <c r="B7" s="33" t="s">
        <v>54</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46">
        <f>COUNTA(Januari!$C7:$AG7)-COUNT(Januari!$C7:$AG7)+(COUNTIF(Januari!$C7:$AG7,"&lt;1")/2)-COUNTIF(Januari!$C7:$AG7,"W")</f>
        <v>0</v>
      </c>
      <c r="AI7" s="43">
        <f t="shared" ref="AI7:AI11" si="0">COUNTIF(C7:AG7,"*Z*")</f>
        <v>0</v>
      </c>
    </row>
    <row r="8" spans="1:35" ht="30" customHeight="1" x14ac:dyDescent="0.25">
      <c r="B8" s="33" t="s">
        <v>55</v>
      </c>
      <c r="C8" s="39"/>
      <c r="D8" s="39"/>
      <c r="E8" s="39"/>
      <c r="F8" s="39">
        <v>0.5</v>
      </c>
      <c r="G8" s="39"/>
      <c r="H8" s="39"/>
      <c r="I8" s="39" t="s">
        <v>62</v>
      </c>
      <c r="J8" s="39"/>
      <c r="K8" s="39"/>
      <c r="L8" s="39"/>
      <c r="M8" s="39" t="s">
        <v>65</v>
      </c>
      <c r="N8" s="39"/>
      <c r="O8" s="39"/>
      <c r="P8" s="39" t="s">
        <v>70</v>
      </c>
      <c r="Q8" s="39"/>
      <c r="R8" s="39"/>
      <c r="S8" s="39"/>
      <c r="T8" s="39"/>
      <c r="U8" s="39"/>
      <c r="V8" s="39"/>
      <c r="W8" s="39"/>
      <c r="X8" s="39"/>
      <c r="Y8" s="39"/>
      <c r="Z8" s="39"/>
      <c r="AA8" s="39"/>
      <c r="AB8" s="39"/>
      <c r="AC8" s="39"/>
      <c r="AD8" s="39"/>
      <c r="AE8" s="39"/>
      <c r="AF8" s="39"/>
      <c r="AG8" s="39"/>
      <c r="AH8" s="45">
        <f>COUNTA(Januari!$C8:$AG8)-COUNT(Januari!$C8:$AG8)+(COUNTIF(Januari!$C8:$AG8,"&lt;1")/2)-COUNTIF(Januari!$C8:$AG8,"W")</f>
        <v>2.5</v>
      </c>
      <c r="AI8" s="38">
        <f t="shared" si="0"/>
        <v>1</v>
      </c>
    </row>
    <row r="9" spans="1:35" ht="30" customHeight="1" x14ac:dyDescent="0.25">
      <c r="B9" s="33" t="s">
        <v>56</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45">
        <f>COUNTA(Januari!$C9:$AG9)-COUNT(Januari!$C9:$AG9)+(COUNTIF(Januari!$C9:$AG9,"&lt;1")/2)-COUNTIF(Januari!$C9:$AG9,"W")</f>
        <v>0</v>
      </c>
      <c r="AI9" s="38">
        <f t="shared" si="0"/>
        <v>0</v>
      </c>
    </row>
    <row r="10" spans="1:35" ht="30" customHeight="1" x14ac:dyDescent="0.25">
      <c r="B10" s="33" t="s">
        <v>57</v>
      </c>
      <c r="C10" s="39"/>
      <c r="D10" s="39"/>
      <c r="E10" s="39"/>
      <c r="F10" s="39"/>
      <c r="G10" s="39"/>
      <c r="H10" s="39"/>
      <c r="I10" s="39"/>
      <c r="J10" s="39"/>
      <c r="K10" s="39"/>
      <c r="L10" s="39"/>
      <c r="M10" s="39"/>
      <c r="N10" s="39"/>
      <c r="O10" s="39"/>
      <c r="P10" s="39"/>
      <c r="Q10" s="39"/>
      <c r="R10" s="39"/>
      <c r="S10" s="39"/>
      <c r="T10" s="39" t="s">
        <v>62</v>
      </c>
      <c r="U10" s="39"/>
      <c r="V10" s="39"/>
      <c r="W10" s="39"/>
      <c r="X10" s="39"/>
      <c r="Y10" s="39"/>
      <c r="Z10" s="39"/>
      <c r="AA10" s="39"/>
      <c r="AB10" s="39"/>
      <c r="AC10" s="39"/>
      <c r="AD10" s="39"/>
      <c r="AE10" s="39"/>
      <c r="AF10" s="39"/>
      <c r="AG10" s="39"/>
      <c r="AH10" s="45">
        <f>COUNTA(Januari!$C10:$AG10)-COUNT(Januari!$C10:$AG10)+(COUNTIF(Januari!$C10:$AG10,"&lt;1")/2)-COUNTIF(Januari!$C10:$AG10,"W")</f>
        <v>1</v>
      </c>
      <c r="AI10" s="38">
        <f t="shared" si="0"/>
        <v>0</v>
      </c>
    </row>
    <row r="11" spans="1:35" ht="30" customHeight="1" thickBot="1" x14ac:dyDescent="0.3">
      <c r="B11" s="33" t="s">
        <v>58</v>
      </c>
      <c r="C11" s="39"/>
      <c r="D11" s="39"/>
      <c r="E11" s="39" t="s">
        <v>65</v>
      </c>
      <c r="F11" s="39" t="s">
        <v>65</v>
      </c>
      <c r="G11" s="39" t="s">
        <v>65</v>
      </c>
      <c r="H11" s="39"/>
      <c r="I11" s="39"/>
      <c r="J11" s="39" t="s">
        <v>3</v>
      </c>
      <c r="K11" s="39"/>
      <c r="L11" s="39"/>
      <c r="M11" s="39"/>
      <c r="N11" s="39"/>
      <c r="O11" s="39" t="s">
        <v>9</v>
      </c>
      <c r="P11" s="39"/>
      <c r="Q11" s="39" t="s">
        <v>9</v>
      </c>
      <c r="R11" s="39"/>
      <c r="S11" s="39" t="s">
        <v>9</v>
      </c>
      <c r="T11" s="39"/>
      <c r="U11" s="39"/>
      <c r="V11" s="39"/>
      <c r="W11" s="39"/>
      <c r="X11" s="39"/>
      <c r="Y11" s="39"/>
      <c r="Z11" s="39"/>
      <c r="AA11" s="39"/>
      <c r="AB11" s="39"/>
      <c r="AC11" s="39"/>
      <c r="AD11" s="39"/>
      <c r="AE11" s="39"/>
      <c r="AF11" s="39"/>
      <c r="AG11" s="39"/>
      <c r="AH11" s="47">
        <f>COUNTA(Januari!$C11:$AG11)-COUNT(Januari!$C11:$AG11)+(COUNTIF(Januari!$C11:$AG11,"&lt;1")/2)-COUNTIF(Januari!$C11:$AG11,"W")</f>
        <v>4</v>
      </c>
      <c r="AI11" s="44">
        <f t="shared" si="0"/>
        <v>3</v>
      </c>
    </row>
    <row r="17" spans="22:22" ht="30" customHeight="1" x14ac:dyDescent="0.25">
      <c r="V17" s="19"/>
    </row>
  </sheetData>
  <mergeCells count="5">
    <mergeCell ref="C4:AG4"/>
    <mergeCell ref="AC2:AE2"/>
    <mergeCell ref="D2:E2"/>
    <mergeCell ref="G2:J2"/>
    <mergeCell ref="R2:U2"/>
  </mergeCells>
  <conditionalFormatting sqref="C7:AG11">
    <cfRule type="containsText" dxfId="1018" priority="31" operator="containsText" text="V">
      <formula>NOT(ISERROR(SEARCH("V",C7)))</formula>
    </cfRule>
    <cfRule type="containsText" dxfId="1017" priority="32" operator="containsText" text="1/2">
      <formula>NOT(ISERROR(SEARCH("1/2",C7)))</formula>
    </cfRule>
    <cfRule type="containsText" dxfId="1016" priority="33" operator="containsText" text="V">
      <formula>NOT(ISERROR(SEARCH("V",C7)))</formula>
    </cfRule>
    <cfRule type="containsText" dxfId="1015" priority="34" operator="containsText" text="V">
      <formula>NOT(ISERROR(SEARCH("V",C7)))</formula>
    </cfRule>
    <cfRule type="containsText" dxfId="1014" priority="35" operator="containsText" text="V">
      <formula>NOT(ISERROR(SEARCH("V",C7)))</formula>
    </cfRule>
    <cfRule type="colorScale" priority="36">
      <colorScale>
        <cfvo type="min"/>
        <cfvo type="max"/>
        <color rgb="FF63BE7B"/>
        <color rgb="FFFCFCFF"/>
      </colorScale>
    </cfRule>
    <cfRule type="containsText" dxfId="1013" priority="39" operator="containsText" text="Z">
      <formula>NOT(ISERROR(SEARCH("Z",C7)))</formula>
    </cfRule>
    <cfRule type="containsText" dxfId="1012" priority="42" operator="containsText" text="V">
      <formula>NOT(ISERROR(SEARCH("V",C7)))</formula>
    </cfRule>
    <cfRule type="containsText" dxfId="1011" priority="43" operator="containsText" text="V">
      <formula>NOT(ISERROR(SEARCH("V",C7)))</formula>
    </cfRule>
    <cfRule type="containsText" dxfId="1010" priority="44" operator="containsText" text="v">
      <formula>NOT(ISERROR(SEARCH("v",C7)))</formula>
    </cfRule>
    <cfRule type="expression" priority="46" stopIfTrue="1">
      <formula>C7=""</formula>
    </cfRule>
    <cfRule type="expression" dxfId="1009" priority="51" stopIfTrue="1">
      <formula>C7=KeyCustom2</formula>
    </cfRule>
    <cfRule type="expression" dxfId="1008" priority="52" stopIfTrue="1">
      <formula>C7=KeyCustom1</formula>
    </cfRule>
    <cfRule type="expression" dxfId="1007" priority="53" stopIfTrue="1">
      <formula>C7=KeySick</formula>
    </cfRule>
    <cfRule type="expression" dxfId="1006" priority="54" stopIfTrue="1">
      <formula>C7=KeyPersonal</formula>
    </cfRule>
    <cfRule type="expression" dxfId="1005" priority="55" stopIfTrue="1">
      <formula>C7=KeyVacation</formula>
    </cfRule>
  </conditionalFormatting>
  <conditionalFormatting sqref="AH7:AH11">
    <cfRule type="dataBar" priority="213">
      <dataBar>
        <cfvo type="num" val="0"/>
        <cfvo type="num" val="31"/>
        <color theme="2" tint="-0.249977111117893"/>
      </dataBar>
      <extLst>
        <ext xmlns:x14="http://schemas.microsoft.com/office/spreadsheetml/2009/9/main" uri="{B025F937-C7B1-47D3-B67F-A62EFF666E3E}">
          <x14:id>{ECCE2C3C-1B01-4700-B60E-DAAAB19A9C1A}</x14:id>
        </ext>
      </extLst>
    </cfRule>
  </conditionalFormatting>
  <conditionalFormatting sqref="C2">
    <cfRule type="containsText" dxfId="1004" priority="13" operator="containsText" text="V">
      <formula>NOT(ISERROR(SEARCH("V",C2)))</formula>
    </cfRule>
    <cfRule type="containsText" dxfId="1003" priority="14" operator="containsText" text="V">
      <formula>NOT(ISERROR(SEARCH("V",C2)))</formula>
    </cfRule>
    <cfRule type="containsText" dxfId="1002" priority="30" operator="containsText" text="V">
      <formula>NOT(ISERROR(SEARCH("V",C2)))</formula>
    </cfRule>
    <cfRule type="containsText" dxfId="1001" priority="40" operator="containsText" text="V">
      <formula>NOT(ISERROR(SEARCH("V",C2)))</formula>
    </cfRule>
    <cfRule type="containsText" dxfId="1000" priority="41" operator="containsText" text="V">
      <formula>NOT(ISERROR(SEARCH("V",C2)))</formula>
    </cfRule>
    <cfRule type="containsText" dxfId="999" priority="45" operator="containsText" text="V">
      <formula>NOT(ISERROR(SEARCH("V",C2)))</formula>
    </cfRule>
  </conditionalFormatting>
  <conditionalFormatting sqref="AH8">
    <cfRule type="cellIs" dxfId="998" priority="29" operator="between">
      <formula>0.5</formula>
      <formula>1</formula>
    </cfRule>
  </conditionalFormatting>
  <conditionalFormatting sqref="C7:AG11">
    <cfRule type="cellIs" dxfId="997" priority="25" operator="equal">
      <formula>0.5</formula>
    </cfRule>
    <cfRule type="containsText" dxfId="996" priority="26" operator="containsText" text="1/2">
      <formula>NOT(ISERROR(SEARCH("1/2",C7)))</formula>
    </cfRule>
    <cfRule type="cellIs" dxfId="995" priority="27" operator="equal">
      <formula>" 1/2"</formula>
    </cfRule>
    <cfRule type="cellIs" dxfId="994" priority="28" operator="equal">
      <formula>" 1/2"</formula>
    </cfRule>
  </conditionalFormatting>
  <conditionalFormatting sqref="F2">
    <cfRule type="containsText" dxfId="993" priority="16" operator="containsText" text="e">
      <formula>NOT(ISERROR(SEARCH("e",F2)))</formula>
    </cfRule>
    <cfRule type="cellIs" dxfId="992" priority="17" operator="equal">
      <formula>42767</formula>
    </cfRule>
    <cfRule type="containsText" dxfId="991" priority="18" operator="containsText" text="1/2">
      <formula>NOT(ISERROR(SEARCH("1/2",F2)))</formula>
    </cfRule>
    <cfRule type="containsText" dxfId="990" priority="19" operator="containsText" text="R">
      <formula>NOT(ISERROR(SEARCH("R",F2)))</formula>
    </cfRule>
  </conditionalFormatting>
  <conditionalFormatting sqref="K2">
    <cfRule type="containsText" dxfId="989" priority="12" operator="containsText" text="Z">
      <formula>NOT(ISERROR(SEARCH("Z",K2)))</formula>
    </cfRule>
    <cfRule type="containsText" dxfId="988" priority="15" operator="containsText" text="Z">
      <formula>NOT(ISERROR(SEARCH("Z",K2)))</formula>
    </cfRule>
  </conditionalFormatting>
  <conditionalFormatting sqref="C7:AG11">
    <cfRule type="containsText" dxfId="987" priority="11" operator="containsText" text="Z">
      <formula>NOT(ISERROR(SEARCH("Z",C7)))</formula>
    </cfRule>
  </conditionalFormatting>
  <conditionalFormatting sqref="C7:AG11">
    <cfRule type="containsText" dxfId="986" priority="10" operator="containsText" text="R">
      <formula>NOT(ISERROR(SEARCH("R",C7)))</formula>
    </cfRule>
  </conditionalFormatting>
  <conditionalFormatting sqref="C7:AG11">
    <cfRule type="containsText" dxfId="985" priority="9" operator="containsText" text="W">
      <formula>NOT(ISERROR(SEARCH("W",C7)))</formula>
    </cfRule>
  </conditionalFormatting>
  <conditionalFormatting sqref="AI7:AI11">
    <cfRule type="dataBar" priority="8">
      <dataBar>
        <cfvo type="min"/>
        <cfvo type="max"/>
        <color rgb="FF008AEF"/>
      </dataBar>
      <extLst>
        <ext xmlns:x14="http://schemas.microsoft.com/office/spreadsheetml/2009/9/main" uri="{B025F937-C7B1-47D3-B67F-A62EFF666E3E}">
          <x14:id>{FD1A6450-FAF9-4275-95E8-9628534E450A}</x14:id>
        </ext>
      </extLst>
    </cfRule>
    <cfRule type="dataBar" priority="6">
      <dataBar>
        <cfvo type="min"/>
        <cfvo type="max"/>
        <color rgb="FF638EC6"/>
      </dataBar>
      <extLst>
        <ext xmlns:x14="http://schemas.microsoft.com/office/spreadsheetml/2009/9/main" uri="{B025F937-C7B1-47D3-B67F-A62EFF666E3E}">
          <x14:id>{BCE6F049-BAA9-4BC1-96FE-1EE8F2051B72}</x14:id>
        </ext>
      </extLst>
    </cfRule>
  </conditionalFormatting>
  <conditionalFormatting sqref="AI7:AI11">
    <cfRule type="dataBar" priority="7">
      <dataBar>
        <cfvo type="min"/>
        <cfvo type="max"/>
        <color rgb="FF638EC6"/>
      </dataBar>
      <extLst>
        <ext xmlns:x14="http://schemas.microsoft.com/office/spreadsheetml/2009/9/main" uri="{B025F937-C7B1-47D3-B67F-A62EFF666E3E}">
          <x14:id>{9DEA6ADB-6C4F-4EDE-B8B9-9FCAC8603962}</x14:id>
        </ext>
      </extLst>
    </cfRule>
    <cfRule type="colorScale" priority="5">
      <colorScale>
        <cfvo type="num" val="0"/>
        <cfvo type="num" val="32"/>
        <color rgb="FFFF7128"/>
        <color rgb="FFFFEF9C"/>
      </colorScale>
    </cfRule>
    <cfRule type="dataBar" priority="4">
      <dataBar>
        <cfvo type="num" val="0"/>
        <cfvo type="num" val="31"/>
        <color rgb="FFFF0000"/>
      </dataBar>
      <extLst>
        <ext xmlns:x14="http://schemas.microsoft.com/office/spreadsheetml/2009/9/main" uri="{B025F937-C7B1-47D3-B67F-A62EFF666E3E}">
          <x14:id>{648E50E3-A6A5-4E7B-BA79-797F59D8A259}</x14:id>
        </ext>
      </extLst>
    </cfRule>
    <cfRule type="colorScale" priority="3">
      <colorScale>
        <cfvo type="min"/>
        <cfvo type="max"/>
        <color theme="0"/>
        <color rgb="FFFFEF9C"/>
      </colorScale>
    </cfRule>
    <cfRule type="dataBar" priority="2">
      <dataBar>
        <cfvo type="min"/>
        <cfvo type="max"/>
        <color rgb="FF638EC6"/>
      </dataBar>
      <extLst>
        <ext xmlns:x14="http://schemas.microsoft.com/office/spreadsheetml/2009/9/main" uri="{B025F937-C7B1-47D3-B67F-A62EFF666E3E}">
          <x14:id>{A71D9229-C3A2-4F8F-BA76-F1255B63CD9E}</x14:id>
        </ext>
      </extLst>
    </cfRule>
    <cfRule type="dataBar" priority="1">
      <dataBar>
        <cfvo type="num" val="0"/>
        <cfvo type="num" val="31"/>
        <color rgb="FFFF0000"/>
      </dataBar>
      <extLst>
        <ext xmlns:x14="http://schemas.microsoft.com/office/spreadsheetml/2009/9/main" uri="{B025F937-C7B1-47D3-B67F-A62EFF666E3E}">
          <x14:id>{157A9EF7-4C6B-415D-BA08-1227A957BB87}</x14:id>
        </ext>
      </extLst>
    </cfRule>
  </conditionalFormatting>
  <dataValidations count="15">
    <dataValidation allowBlank="1" showInputMessage="1" showErrorMessage="1" prompt="Voer het jaar in deze cel in" sqref="AH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Berekent automatisch het totaal aantal dagen dat een werknemer in deze maand niet aanwezig was" sqref="AH6"/>
    <dataValidation allowBlank="1" showInputMessage="1" showErrorMessage="1" prompt="De titel van dit werkblad staat in deze cel. Werk de titel bij en de wijziging wordt automatisch overgenomen door elk werkblad" sqref="B1"/>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AB2 X2 N2 Q2"/>
    <dataValidation allowBlank="1" showInputMessage="1" showErrorMessage="1" prompt="Voer links een label om de aangepaste sleutel te beschrijven in" sqref="AC2:AE2 Y2:AA2 O2:P2 R2"/>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dataValidation allowBlank="1" showInputMessage="1" showErrorMessage="1" prompt="Jaar invoeren in de cel onder" sqref="AH3"/>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 xmlns:xm="http://schemas.microsoft.com/office/excel/2006/main">
          <x14:cfRule type="dataBar" id="{FD1A6450-FAF9-4275-95E8-9628534E450A}">
            <x14:dataBar minLength="0" maxLength="100" gradient="0">
              <x14:cfvo type="autoMin"/>
              <x14:cfvo type="autoMax"/>
              <x14:negativeFillColor rgb="FFFF0000"/>
              <x14:axisColor rgb="FF000000"/>
            </x14:dataBar>
          </x14:cfRule>
          <x14:cfRule type="dataBar" id="{BCE6F049-BAA9-4BC1-96FE-1EE8F2051B72}">
            <x14:dataBar minLength="0" maxLength="100">
              <x14:cfvo type="autoMin"/>
              <x14:cfvo type="autoMax"/>
              <x14:negativeFillColor rgb="FFFF0000"/>
              <x14:axisColor rgb="FF000000"/>
            </x14:dataBar>
          </x14:cfRule>
          <xm:sqref>AI7:AI11</xm:sqref>
        </x14:conditionalFormatting>
        <x14:conditionalFormatting xmlns:xm="http://schemas.microsoft.com/office/excel/2006/main">
          <x14:cfRule type="dataBar" id="{9DEA6ADB-6C4F-4EDE-B8B9-9FCAC8603962}">
            <x14:dataBar minLength="0" maxLength="100" gradient="0">
              <x14:cfvo type="min"/>
              <x14:cfvo type="autoMax"/>
              <x14:negativeFillColor rgb="FFFF0000"/>
              <x14:axisColor rgb="FF000000"/>
            </x14:dataBar>
          </x14:cfRule>
          <x14:cfRule type="dataBar" id="{648E50E3-A6A5-4E7B-BA79-797F59D8A259}">
            <x14:dataBar minLength="0" maxLength="100" gradient="0">
              <x14:cfvo type="num">
                <xm:f>0</xm:f>
              </x14:cfvo>
              <x14:cfvo type="num">
                <xm:f>31</xm:f>
              </x14:cfvo>
              <x14:negativeFillColor rgb="FFFF0000"/>
              <x14:axisColor rgb="FF000000"/>
            </x14:dataBar>
          </x14:cfRule>
          <x14:cfRule type="dataBar" id="{A71D9229-C3A2-4F8F-BA76-F1255B63CD9E}">
            <x14:dataBar minLength="0" maxLength="100">
              <x14:cfvo type="autoMin"/>
              <x14:cfvo type="autoMax"/>
              <x14:negativeFillColor rgb="FFFF0000"/>
              <x14:axisColor rgb="FF000000"/>
            </x14:dataBar>
          </x14:cfRule>
          <x14:cfRule type="dataBar" id="{157A9EF7-4C6B-415D-BA08-1227A957BB87}">
            <x14:dataBar minLength="0" maxLength="100" gradient="0">
              <x14:cfvo type="num">
                <xm:f>0</xm:f>
              </x14:cfvo>
              <x14:cfvo type="num">
                <xm:f>31</xm:f>
              </x14:cfvo>
              <x14:negativeFillColor rgb="FFFF0000"/>
              <x14:axisColor rgb="FF000000"/>
            </x14:dataBar>
          </x14:cfRule>
          <xm:sqref>AI7:AI11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48</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TEXT(WEEKDAY(DATE(CalendarYear,10,1),1),"aaa")</f>
        <v>do</v>
      </c>
      <c r="D5" s="1" t="str">
        <f>TEXT(WEEKDAY(DATE(CalendarYear,10,2),1),"aaa")</f>
        <v>vr</v>
      </c>
      <c r="E5" s="1" t="str">
        <f>TEXT(WEEKDAY(DATE(CalendarYear,10,3),1),"aaa")</f>
        <v>za</v>
      </c>
      <c r="F5" s="1" t="str">
        <f>TEXT(WEEKDAY(DATE(CalendarYear,10,4),1),"aaa")</f>
        <v>zo</v>
      </c>
      <c r="G5" s="1" t="str">
        <f>TEXT(WEEKDAY(DATE(CalendarYear,10,5),1),"aaa")</f>
        <v>ma</v>
      </c>
      <c r="H5" s="1" t="str">
        <f>TEXT(WEEKDAY(DATE(CalendarYear,10,6),1),"aaa")</f>
        <v>di</v>
      </c>
      <c r="I5" s="1" t="str">
        <f>TEXT(WEEKDAY(DATE(CalendarYear,10,7),1),"aaa")</f>
        <v>wo</v>
      </c>
      <c r="J5" s="1" t="str">
        <f>TEXT(WEEKDAY(DATE(CalendarYear,10,8),1),"aaa")</f>
        <v>do</v>
      </c>
      <c r="K5" s="1" t="str">
        <f>TEXT(WEEKDAY(DATE(CalendarYear,10,9),1),"aaa")</f>
        <v>vr</v>
      </c>
      <c r="L5" s="1" t="str">
        <f>TEXT(WEEKDAY(DATE(CalendarYear,10,10),1),"aaa")</f>
        <v>za</v>
      </c>
      <c r="M5" s="1" t="str">
        <f>TEXT(WEEKDAY(DATE(CalendarYear,10,11),1),"aaa")</f>
        <v>zo</v>
      </c>
      <c r="N5" s="1" t="str">
        <f>TEXT(WEEKDAY(DATE(CalendarYear,10,12),1),"aaa")</f>
        <v>ma</v>
      </c>
      <c r="O5" s="1" t="str">
        <f>TEXT(WEEKDAY(DATE(CalendarYear,10,13),1),"aaa")</f>
        <v>di</v>
      </c>
      <c r="P5" s="1" t="str">
        <f>TEXT(WEEKDAY(DATE(CalendarYear,10,14),1),"aaa")</f>
        <v>wo</v>
      </c>
      <c r="Q5" s="1" t="str">
        <f>TEXT(WEEKDAY(DATE(CalendarYear,10,15),1),"aaa")</f>
        <v>do</v>
      </c>
      <c r="R5" s="1" t="str">
        <f>TEXT(WEEKDAY(DATE(CalendarYear,10,16),1),"aaa")</f>
        <v>vr</v>
      </c>
      <c r="S5" s="1" t="str">
        <f>TEXT(WEEKDAY(DATE(CalendarYear,10,17),1),"aaa")</f>
        <v>za</v>
      </c>
      <c r="T5" s="1" t="str">
        <f>TEXT(WEEKDAY(DATE(CalendarYear,10,18),1),"aaa")</f>
        <v>zo</v>
      </c>
      <c r="U5" s="1" t="str">
        <f>TEXT(WEEKDAY(DATE(CalendarYear,10,19),1),"aaa")</f>
        <v>ma</v>
      </c>
      <c r="V5" s="1" t="str">
        <f>TEXT(WEEKDAY(DATE(CalendarYear,10,20),1),"aaa")</f>
        <v>di</v>
      </c>
      <c r="W5" s="1" t="str">
        <f>TEXT(WEEKDAY(DATE(CalendarYear,10,21),1),"aaa")</f>
        <v>wo</v>
      </c>
      <c r="X5" s="1" t="str">
        <f>TEXT(WEEKDAY(DATE(CalendarYear,10,22),1),"aaa")</f>
        <v>do</v>
      </c>
      <c r="Y5" s="1" t="str">
        <f>TEXT(WEEKDAY(DATE(CalendarYear,10,23),1),"aaa")</f>
        <v>vr</v>
      </c>
      <c r="Z5" s="1" t="str">
        <f>TEXT(WEEKDAY(DATE(CalendarYear,10,24),1),"aaa")</f>
        <v>za</v>
      </c>
      <c r="AA5" s="1" t="str">
        <f>TEXT(WEEKDAY(DATE(CalendarYear,10,25),1),"aaa")</f>
        <v>zo</v>
      </c>
      <c r="AB5" s="1" t="str">
        <f>TEXT(WEEKDAY(DATE(CalendarYear,10,26),1),"aaa")</f>
        <v>ma</v>
      </c>
      <c r="AC5" s="1" t="str">
        <f>TEXT(WEEKDAY(DATE(CalendarYear,10,27),1),"aaa")</f>
        <v>di</v>
      </c>
      <c r="AD5" s="1" t="str">
        <f>TEXT(WEEKDAY(DATE(CalendarYear,10,28),1),"aaa")</f>
        <v>wo</v>
      </c>
      <c r="AE5" s="1" t="str">
        <f>TEXT(WEEKDAY(DATE(CalendarYear,10,29),1),"aaa")</f>
        <v>do</v>
      </c>
      <c r="AF5" s="1" t="str">
        <f>TEXT(WEEKDAY(DATE(CalendarYear,10,30),1),"aaa")</f>
        <v>vr</v>
      </c>
      <c r="AG5" s="1" t="str">
        <f>TEXT(WEEKDAY(DATE(CalendarYear,10,31),1),"aaa")</f>
        <v>za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COUNTA(Oktober[[#This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COUNTA(Oktober[[#This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COUNTA(Oktober[[#This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COUNTA(Oktober[[#This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COUNTA(Oktober[[#This Row],[1]:[31]])</f>
        <v>0</v>
      </c>
    </row>
    <row r="12" spans="2:34" ht="30" customHeight="1" x14ac:dyDescent="0.25">
      <c r="B12" s="14" t="str">
        <f>MonthName&amp;" totaal"</f>
        <v>Oktober totaal</v>
      </c>
      <c r="C12" s="8">
        <f>SUBTOTAL(103,Oktober[1])</f>
        <v>0</v>
      </c>
      <c r="D12" s="8">
        <f>SUBTOTAL(103,Oktober[2])</f>
        <v>0</v>
      </c>
      <c r="E12" s="8">
        <f>SUBTOTAL(103,Oktober[3])</f>
        <v>0</v>
      </c>
      <c r="F12" s="8">
        <f>SUBTOTAL(103,Oktober[4])</f>
        <v>0</v>
      </c>
      <c r="G12" s="8">
        <f>SUBTOTAL(103,Oktober[5])</f>
        <v>0</v>
      </c>
      <c r="H12" s="8">
        <f>SUBTOTAL(103,Oktober[6])</f>
        <v>0</v>
      </c>
      <c r="I12" s="8">
        <f>SUBTOTAL(103,Oktober[7])</f>
        <v>0</v>
      </c>
      <c r="J12" s="8">
        <f>SUBTOTAL(103,Oktober[8])</f>
        <v>0</v>
      </c>
      <c r="K12" s="8">
        <f>SUBTOTAL(103,Oktober[9])</f>
        <v>0</v>
      </c>
      <c r="L12" s="8">
        <f>SUBTOTAL(103,Oktober[10])</f>
        <v>0</v>
      </c>
      <c r="M12" s="8">
        <f>SUBTOTAL(103,Oktober[11])</f>
        <v>0</v>
      </c>
      <c r="N12" s="8">
        <f>SUBTOTAL(103,Oktober[12])</f>
        <v>0</v>
      </c>
      <c r="O12" s="8">
        <f>SUBTOTAL(103,Oktober[13])</f>
        <v>0</v>
      </c>
      <c r="P12" s="8">
        <f>SUBTOTAL(103,Oktober[14])</f>
        <v>0</v>
      </c>
      <c r="Q12" s="8">
        <f>SUBTOTAL(103,Oktober[15])</f>
        <v>0</v>
      </c>
      <c r="R12" s="8">
        <f>SUBTOTAL(103,Oktober[16])</f>
        <v>0</v>
      </c>
      <c r="S12" s="8">
        <f>SUBTOTAL(103,Oktober[17])</f>
        <v>0</v>
      </c>
      <c r="T12" s="8">
        <f>SUBTOTAL(103,Oktober[18])</f>
        <v>0</v>
      </c>
      <c r="U12" s="8">
        <f>SUBTOTAL(103,Oktober[19])</f>
        <v>0</v>
      </c>
      <c r="V12" s="8">
        <f>SUBTOTAL(103,Oktober[20])</f>
        <v>0</v>
      </c>
      <c r="W12" s="8">
        <f>SUBTOTAL(103,Oktober[21])</f>
        <v>0</v>
      </c>
      <c r="X12" s="8">
        <f>SUBTOTAL(103,Oktober[22])</f>
        <v>0</v>
      </c>
      <c r="Y12" s="8">
        <f>SUBTOTAL(103,Oktober[23])</f>
        <v>0</v>
      </c>
      <c r="Z12" s="8">
        <f>SUBTOTAL(103,Oktober[24])</f>
        <v>0</v>
      </c>
      <c r="AA12" s="8">
        <f>SUBTOTAL(103,Oktober[25])</f>
        <v>0</v>
      </c>
      <c r="AB12" s="8">
        <f>SUBTOTAL(103,Oktober[26])</f>
        <v>0</v>
      </c>
      <c r="AC12" s="8">
        <f>SUBTOTAL(103,Oktober[27])</f>
        <v>0</v>
      </c>
      <c r="AD12" s="8">
        <f>SUBTOTAL(103,Oktober[28])</f>
        <v>0</v>
      </c>
      <c r="AE12" s="8">
        <f>SUBTOTAL(103,Oktober[29])</f>
        <v>0</v>
      </c>
      <c r="AF12" s="8">
        <f>SUBTOTAL(109,Oktober[30])</f>
        <v>0</v>
      </c>
      <c r="AG12" s="8">
        <f>SUBTOTAL(109,Oktober[31])</f>
        <v>0</v>
      </c>
      <c r="AH12" s="8">
        <f>SUBTOTAL(109,Oktober[Totaal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258" priority="14" stopIfTrue="1">
      <formula>C7=KeyCustom2</formula>
    </cfRule>
    <cfRule type="expression" dxfId="257" priority="15" stopIfTrue="1">
      <formula>C7=KeyCustom1</formula>
    </cfRule>
    <cfRule type="expression" dxfId="256" priority="16" stopIfTrue="1">
      <formula>C7=KeySick</formula>
    </cfRule>
    <cfRule type="expression" dxfId="255" priority="17" stopIfTrue="1">
      <formula>C7=KeyPersonal</formula>
    </cfRule>
    <cfRule type="expression" dxfId="254"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conditionalFormatting sqref="C2">
    <cfRule type="containsText" dxfId="253" priority="2" operator="containsText" text="V">
      <formula>NOT(ISERROR(SEARCH("V",C2)))</formula>
    </cfRule>
    <cfRule type="containsText" dxfId="252" priority="3" operator="containsText" text="V">
      <formula>NOT(ISERROR(SEARCH("V",C2)))</formula>
    </cfRule>
    <cfRule type="containsText" dxfId="251" priority="9" operator="containsText" text="V">
      <formula>NOT(ISERROR(SEARCH("V",C2)))</formula>
    </cfRule>
    <cfRule type="containsText" dxfId="250" priority="10" operator="containsText" text="V">
      <formula>NOT(ISERROR(SEARCH("V",C2)))</formula>
    </cfRule>
    <cfRule type="containsText" dxfId="249" priority="11" operator="containsText" text="V">
      <formula>NOT(ISERROR(SEARCH("V",C2)))</formula>
    </cfRule>
    <cfRule type="containsText" dxfId="248" priority="12" operator="containsText" text="V">
      <formula>NOT(ISERROR(SEARCH("V",C2)))</formula>
    </cfRule>
  </conditionalFormatting>
  <conditionalFormatting sqref="F2">
    <cfRule type="containsText" dxfId="247" priority="5" operator="containsText" text="e">
      <formula>NOT(ISERROR(SEARCH("e",F2)))</formula>
    </cfRule>
    <cfRule type="cellIs" dxfId="246" priority="6" operator="equal">
      <formula>42767</formula>
    </cfRule>
    <cfRule type="containsText" dxfId="245" priority="7" operator="containsText" text="1/2">
      <formula>NOT(ISERROR(SEARCH("1/2",F2)))</formula>
    </cfRule>
    <cfRule type="containsText" dxfId="244" priority="8" operator="containsText" text="R">
      <formula>NOT(ISERROR(SEARCH("R",F2)))</formula>
    </cfRule>
  </conditionalFormatting>
  <conditionalFormatting sqref="K2">
    <cfRule type="containsText" dxfId="243" priority="1" operator="containsText" text="Z">
      <formula>NOT(ISERROR(SEARCH("Z",K2)))</formula>
    </cfRule>
    <cfRule type="containsText" dxfId="242"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okto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49</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TEXT(WEEKDAY(DATE(CalendarYear,11,1),1),"aaa")</f>
        <v>zo</v>
      </c>
      <c r="D5" s="1" t="str">
        <f>TEXT(WEEKDAY(DATE(CalendarYear,11,2),1),"aaa")</f>
        <v>ma</v>
      </c>
      <c r="E5" s="1" t="str">
        <f>TEXT(WEEKDAY(DATE(CalendarYear,11,3),1),"aaa")</f>
        <v>di</v>
      </c>
      <c r="F5" s="1" t="str">
        <f>TEXT(WEEKDAY(DATE(CalendarYear,11,4),1),"aaa")</f>
        <v>wo</v>
      </c>
      <c r="G5" s="1" t="str">
        <f>TEXT(WEEKDAY(DATE(CalendarYear,11,5),1),"aaa")</f>
        <v>do</v>
      </c>
      <c r="H5" s="1" t="str">
        <f>TEXT(WEEKDAY(DATE(CalendarYear,11,6),1),"aaa")</f>
        <v>vr</v>
      </c>
      <c r="I5" s="1" t="str">
        <f>TEXT(WEEKDAY(DATE(CalendarYear,11,7),1),"aaa")</f>
        <v>za</v>
      </c>
      <c r="J5" s="1" t="str">
        <f>TEXT(WEEKDAY(DATE(CalendarYear,11,8),1),"aaa")</f>
        <v>zo</v>
      </c>
      <c r="K5" s="1" t="str">
        <f>TEXT(WEEKDAY(DATE(CalendarYear,11,9),1),"aaa")</f>
        <v>ma</v>
      </c>
      <c r="L5" s="1" t="str">
        <f>TEXT(WEEKDAY(DATE(CalendarYear,11,10),1),"aaa")</f>
        <v>di</v>
      </c>
      <c r="M5" s="1" t="str">
        <f>TEXT(WEEKDAY(DATE(CalendarYear,11,11),1),"aaa")</f>
        <v>wo</v>
      </c>
      <c r="N5" s="1" t="str">
        <f>TEXT(WEEKDAY(DATE(CalendarYear,11,12),1),"aaa")</f>
        <v>do</v>
      </c>
      <c r="O5" s="1" t="str">
        <f>TEXT(WEEKDAY(DATE(CalendarYear,11,13),1),"aaa")</f>
        <v>vr</v>
      </c>
      <c r="P5" s="1" t="str">
        <f>TEXT(WEEKDAY(DATE(CalendarYear,11,14),1),"aaa")</f>
        <v>za</v>
      </c>
      <c r="Q5" s="1" t="str">
        <f>TEXT(WEEKDAY(DATE(CalendarYear,11,15),1),"aaa")</f>
        <v>zo</v>
      </c>
      <c r="R5" s="1" t="str">
        <f>TEXT(WEEKDAY(DATE(CalendarYear,11,16),1),"aaa")</f>
        <v>ma</v>
      </c>
      <c r="S5" s="1" t="str">
        <f>TEXT(WEEKDAY(DATE(CalendarYear,11,17),1),"aaa")</f>
        <v>di</v>
      </c>
      <c r="T5" s="1" t="str">
        <f>TEXT(WEEKDAY(DATE(CalendarYear,11,18),1),"aaa")</f>
        <v>wo</v>
      </c>
      <c r="U5" s="1" t="str">
        <f>TEXT(WEEKDAY(DATE(CalendarYear,11,19),1),"aaa")</f>
        <v>do</v>
      </c>
      <c r="V5" s="1" t="str">
        <f>TEXT(WEEKDAY(DATE(CalendarYear,11,20),1),"aaa")</f>
        <v>vr</v>
      </c>
      <c r="W5" s="1" t="str">
        <f>TEXT(WEEKDAY(DATE(CalendarYear,11,21),1),"aaa")</f>
        <v>za</v>
      </c>
      <c r="X5" s="1" t="str">
        <f>TEXT(WEEKDAY(DATE(CalendarYear,11,22),1),"aaa")</f>
        <v>zo</v>
      </c>
      <c r="Y5" s="1" t="str">
        <f>TEXT(WEEKDAY(DATE(CalendarYear,11,23),1),"aaa")</f>
        <v>ma</v>
      </c>
      <c r="Z5" s="1" t="str">
        <f>TEXT(WEEKDAY(DATE(CalendarYear,11,24),1),"aaa")</f>
        <v>di</v>
      </c>
      <c r="AA5" s="1" t="str">
        <f>TEXT(WEEKDAY(DATE(CalendarYear,11,25),1),"aaa")</f>
        <v>wo</v>
      </c>
      <c r="AB5" s="1" t="str">
        <f>TEXT(WEEKDAY(DATE(CalendarYear,11,26),1),"aaa")</f>
        <v>do</v>
      </c>
      <c r="AC5" s="1" t="str">
        <f>TEXT(WEEKDAY(DATE(CalendarYear,11,27),1),"aaa")</f>
        <v>vr</v>
      </c>
      <c r="AD5" s="1" t="str">
        <f>TEXT(WEEKDAY(DATE(CalendarYear,11,28),1),"aaa")</f>
        <v>za</v>
      </c>
      <c r="AE5" s="1" t="str">
        <f>TEXT(WEEKDAY(DATE(CalendarYear,11,29),1),"aaa")</f>
        <v>zo</v>
      </c>
      <c r="AF5" s="1" t="str">
        <f>TEXT(WEEKDAY(DATE(CalendarYear,11,30),1),"aaa")</f>
        <v>ma</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COUNTA(November[[#This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COUNTA(November[[#This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COUNTA(November[[#This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COUNTA(November[[#This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COUNTA(November[[#This Row],[1]:[31]])</f>
        <v>0</v>
      </c>
    </row>
    <row r="12" spans="2:34" ht="30" customHeight="1" x14ac:dyDescent="0.25">
      <c r="B12" s="14" t="str">
        <f>MonthName&amp;" totaal"</f>
        <v>November totaal</v>
      </c>
      <c r="C12" s="8">
        <f>SUBTOTAL(103,November[1])</f>
        <v>0</v>
      </c>
      <c r="D12" s="8">
        <f>SUBTOTAL(103,November[2])</f>
        <v>0</v>
      </c>
      <c r="E12" s="8">
        <f>SUBTOTAL(103,November[3])</f>
        <v>0</v>
      </c>
      <c r="F12" s="8">
        <f>SUBTOTAL(103,November[4])</f>
        <v>0</v>
      </c>
      <c r="G12" s="8">
        <f>SUBTOTAL(103,November[5])</f>
        <v>0</v>
      </c>
      <c r="H12" s="8">
        <f>SUBTOTAL(103,November[6])</f>
        <v>0</v>
      </c>
      <c r="I12" s="8">
        <f>SUBTOTAL(103,November[7])</f>
        <v>0</v>
      </c>
      <c r="J12" s="8">
        <f>SUBTOTAL(103,November[8])</f>
        <v>0</v>
      </c>
      <c r="K12" s="8">
        <f>SUBTOTAL(103,November[9])</f>
        <v>0</v>
      </c>
      <c r="L12" s="8">
        <f>SUBTOTAL(103,November[10])</f>
        <v>0</v>
      </c>
      <c r="M12" s="8">
        <f>SUBTOTAL(103,November[11])</f>
        <v>0</v>
      </c>
      <c r="N12" s="8">
        <f>SUBTOTAL(103,November[12])</f>
        <v>0</v>
      </c>
      <c r="O12" s="8">
        <f>SUBTOTAL(103,November[13])</f>
        <v>0</v>
      </c>
      <c r="P12" s="8">
        <f>SUBTOTAL(103,November[14])</f>
        <v>0</v>
      </c>
      <c r="Q12" s="8">
        <f>SUBTOTAL(103,November[15])</f>
        <v>0</v>
      </c>
      <c r="R12" s="8">
        <f>SUBTOTAL(103,November[16])</f>
        <v>0</v>
      </c>
      <c r="S12" s="8">
        <f>SUBTOTAL(103,November[17])</f>
        <v>0</v>
      </c>
      <c r="T12" s="8">
        <f>SUBTOTAL(103,November[18])</f>
        <v>0</v>
      </c>
      <c r="U12" s="8">
        <f>SUBTOTAL(103,November[19])</f>
        <v>0</v>
      </c>
      <c r="V12" s="8">
        <f>SUBTOTAL(103,November[20])</f>
        <v>0</v>
      </c>
      <c r="W12" s="8">
        <f>SUBTOTAL(103,November[21])</f>
        <v>0</v>
      </c>
      <c r="X12" s="8">
        <f>SUBTOTAL(103,November[22])</f>
        <v>0</v>
      </c>
      <c r="Y12" s="8">
        <f>SUBTOTAL(103,November[23])</f>
        <v>0</v>
      </c>
      <c r="Z12" s="8">
        <f>SUBTOTAL(103,November[24])</f>
        <v>0</v>
      </c>
      <c r="AA12" s="8">
        <f>SUBTOTAL(103,November[25])</f>
        <v>0</v>
      </c>
      <c r="AB12" s="8">
        <f>SUBTOTAL(103,November[26])</f>
        <v>0</v>
      </c>
      <c r="AC12" s="8">
        <f>SUBTOTAL(103,November[27])</f>
        <v>0</v>
      </c>
      <c r="AD12" s="8">
        <f>SUBTOTAL(103,November[28])</f>
        <v>0</v>
      </c>
      <c r="AE12" s="8">
        <f>SUBTOTAL(103,November[29])</f>
        <v>0</v>
      </c>
      <c r="AF12" s="8">
        <f>SUBTOTAL(109,November[30])</f>
        <v>0</v>
      </c>
      <c r="AG12" s="8">
        <f>SUBTOTAL(109,November[31])</f>
        <v>0</v>
      </c>
      <c r="AH12" s="8">
        <f>SUBTOTAL(109,November[Totaal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172" priority="14" stopIfTrue="1">
      <formula>C7=KeyCustom2</formula>
    </cfRule>
    <cfRule type="expression" dxfId="171" priority="15" stopIfTrue="1">
      <formula>C7=KeyCustom1</formula>
    </cfRule>
    <cfRule type="expression" dxfId="170" priority="16" stopIfTrue="1">
      <formula>C7=KeySick</formula>
    </cfRule>
    <cfRule type="expression" dxfId="169" priority="17" stopIfTrue="1">
      <formula>C7=KeyPersonal</formula>
    </cfRule>
    <cfRule type="expression" dxfId="168"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conditionalFormatting sqref="C2">
    <cfRule type="containsText" dxfId="167" priority="2" operator="containsText" text="V">
      <formula>NOT(ISERROR(SEARCH("V",C2)))</formula>
    </cfRule>
    <cfRule type="containsText" dxfId="166" priority="3" operator="containsText" text="V">
      <formula>NOT(ISERROR(SEARCH("V",C2)))</formula>
    </cfRule>
    <cfRule type="containsText" dxfId="165" priority="9" operator="containsText" text="V">
      <formula>NOT(ISERROR(SEARCH("V",C2)))</formula>
    </cfRule>
    <cfRule type="containsText" dxfId="164" priority="10" operator="containsText" text="V">
      <formula>NOT(ISERROR(SEARCH("V",C2)))</formula>
    </cfRule>
    <cfRule type="containsText" dxfId="163" priority="11" operator="containsText" text="V">
      <formula>NOT(ISERROR(SEARCH("V",C2)))</formula>
    </cfRule>
    <cfRule type="containsText" dxfId="162" priority="12" operator="containsText" text="V">
      <formula>NOT(ISERROR(SEARCH("V",C2)))</formula>
    </cfRule>
  </conditionalFormatting>
  <conditionalFormatting sqref="F2">
    <cfRule type="containsText" dxfId="161" priority="5" operator="containsText" text="e">
      <formula>NOT(ISERROR(SEARCH("e",F2)))</formula>
    </cfRule>
    <cfRule type="cellIs" dxfId="160" priority="6" operator="equal">
      <formula>42767</formula>
    </cfRule>
    <cfRule type="containsText" dxfId="159" priority="7" operator="containsText" text="1/2">
      <formula>NOT(ISERROR(SEARCH("1/2",F2)))</formula>
    </cfRule>
    <cfRule type="containsText" dxfId="158" priority="8" operator="containsText" text="R">
      <formula>NOT(ISERROR(SEARCH("R",F2)))</formula>
    </cfRule>
  </conditionalFormatting>
  <conditionalFormatting sqref="K2">
    <cfRule type="containsText" dxfId="157" priority="1" operator="containsText" text="Z">
      <formula>NOT(ISERROR(SEARCH("Z",K2)))</formula>
    </cfRule>
    <cfRule type="containsText" dxfId="156"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nov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AH12"/>
  <sheetViews>
    <sheetView showGridLines="0" zoomScaleNormal="100" workbookViewId="0">
      <selection activeCell="J17" sqref="J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50</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TEXT(WEEKDAY(DATE(CalendarYear,12,1),1),"aaa")</f>
        <v>di</v>
      </c>
      <c r="D5" s="1" t="str">
        <f>TEXT(WEEKDAY(DATE(CalendarYear,12,2),1),"aaa")</f>
        <v>wo</v>
      </c>
      <c r="E5" s="1" t="str">
        <f>TEXT(WEEKDAY(DATE(CalendarYear,12,3),1),"aaa")</f>
        <v>do</v>
      </c>
      <c r="F5" s="1" t="str">
        <f>TEXT(WEEKDAY(DATE(CalendarYear,12,4),1),"aaa")</f>
        <v>vr</v>
      </c>
      <c r="G5" s="1" t="str">
        <f>TEXT(WEEKDAY(DATE(CalendarYear,12,5),1),"aaa")</f>
        <v>za</v>
      </c>
      <c r="H5" s="1" t="str">
        <f>TEXT(WEEKDAY(DATE(CalendarYear,12,6),1),"aaa")</f>
        <v>zo</v>
      </c>
      <c r="I5" s="1" t="str">
        <f>TEXT(WEEKDAY(DATE(CalendarYear,12,7),1),"aaa")</f>
        <v>ma</v>
      </c>
      <c r="J5" s="1" t="str">
        <f>TEXT(WEEKDAY(DATE(CalendarYear,12,8),1),"aaa")</f>
        <v>di</v>
      </c>
      <c r="K5" s="1" t="str">
        <f>TEXT(WEEKDAY(DATE(CalendarYear,12,9),1),"aaa")</f>
        <v>wo</v>
      </c>
      <c r="L5" s="1" t="str">
        <f>TEXT(WEEKDAY(DATE(CalendarYear,12,10),1),"aaa")</f>
        <v>do</v>
      </c>
      <c r="M5" s="1" t="str">
        <f>TEXT(WEEKDAY(DATE(CalendarYear,12,11),1),"aaa")</f>
        <v>vr</v>
      </c>
      <c r="N5" s="1" t="str">
        <f>TEXT(WEEKDAY(DATE(CalendarYear,12,12),1),"aaa")</f>
        <v>za</v>
      </c>
      <c r="O5" s="1" t="str">
        <f>TEXT(WEEKDAY(DATE(CalendarYear,12,13),1),"aaa")</f>
        <v>zo</v>
      </c>
      <c r="P5" s="1" t="str">
        <f>TEXT(WEEKDAY(DATE(CalendarYear,12,14),1),"aaa")</f>
        <v>ma</v>
      </c>
      <c r="Q5" s="1" t="str">
        <f>TEXT(WEEKDAY(DATE(CalendarYear,12,15),1),"aaa")</f>
        <v>di</v>
      </c>
      <c r="R5" s="1" t="str">
        <f>TEXT(WEEKDAY(DATE(CalendarYear,12,16),1),"aaa")</f>
        <v>wo</v>
      </c>
      <c r="S5" s="1" t="str">
        <f>TEXT(WEEKDAY(DATE(CalendarYear,12,17),1),"aaa")</f>
        <v>do</v>
      </c>
      <c r="T5" s="1" t="str">
        <f>TEXT(WEEKDAY(DATE(CalendarYear,12,18),1),"aaa")</f>
        <v>vr</v>
      </c>
      <c r="U5" s="1" t="str">
        <f>TEXT(WEEKDAY(DATE(CalendarYear,12,19),1),"aaa")</f>
        <v>za</v>
      </c>
      <c r="V5" s="1" t="str">
        <f>TEXT(WEEKDAY(DATE(CalendarYear,12,20),1),"aaa")</f>
        <v>zo</v>
      </c>
      <c r="W5" s="1" t="str">
        <f>TEXT(WEEKDAY(DATE(CalendarYear,12,21),1),"aaa")</f>
        <v>ma</v>
      </c>
      <c r="X5" s="1" t="str">
        <f>TEXT(WEEKDAY(DATE(CalendarYear,12,22),1),"aaa")</f>
        <v>di</v>
      </c>
      <c r="Y5" s="1" t="str">
        <f>TEXT(WEEKDAY(DATE(CalendarYear,12,23),1),"aaa")</f>
        <v>wo</v>
      </c>
      <c r="Z5" s="1" t="str">
        <f>TEXT(WEEKDAY(DATE(CalendarYear,12,24),1),"aaa")</f>
        <v>do</v>
      </c>
      <c r="AA5" s="1" t="str">
        <f>TEXT(WEEKDAY(DATE(CalendarYear,12,25),1),"aaa")</f>
        <v>vr</v>
      </c>
      <c r="AB5" s="1" t="str">
        <f>TEXT(WEEKDAY(DATE(CalendarYear,12,26),1),"aaa")</f>
        <v>za</v>
      </c>
      <c r="AC5" s="1" t="str">
        <f>TEXT(WEEKDAY(DATE(CalendarYear,12,27),1),"aaa")</f>
        <v>zo</v>
      </c>
      <c r="AD5" s="1" t="str">
        <f>TEXT(WEEKDAY(DATE(CalendarYear,12,28),1),"aaa")</f>
        <v>ma</v>
      </c>
      <c r="AE5" s="1" t="str">
        <f>TEXT(WEEKDAY(DATE(CalendarYear,12,29),1),"aaa")</f>
        <v>di</v>
      </c>
      <c r="AF5" s="1" t="str">
        <f>TEXT(WEEKDAY(DATE(CalendarYear,12,30),1),"aaa")</f>
        <v>wo</v>
      </c>
      <c r="AG5" s="1" t="str">
        <f>TEXT(WEEKDAY(DATE(CalendarYear,12,31),1),"aaa")</f>
        <v>do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COUNTA(December[[#This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COUNTA(December[[#This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COUNTA(December[[#This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COUNTA(December[[#This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COUNTA(December[[#This Row],[1]:[31]])</f>
        <v>0</v>
      </c>
    </row>
    <row r="12" spans="2:34" ht="30" customHeight="1" x14ac:dyDescent="0.25">
      <c r="B12" s="14" t="str">
        <f>MonthName&amp;" totaal"</f>
        <v>December totaal</v>
      </c>
      <c r="C12" s="8">
        <f>SUBTOTAL(103,December[1])</f>
        <v>0</v>
      </c>
      <c r="D12" s="8">
        <f>SUBTOTAL(103,December[2])</f>
        <v>0</v>
      </c>
      <c r="E12" s="8">
        <f>SUBTOTAL(103,December[3])</f>
        <v>0</v>
      </c>
      <c r="F12" s="8">
        <f>SUBTOTAL(103,December[4])</f>
        <v>0</v>
      </c>
      <c r="G12" s="8">
        <f>SUBTOTAL(103,December[5])</f>
        <v>0</v>
      </c>
      <c r="H12" s="8">
        <f>SUBTOTAL(103,December[6])</f>
        <v>0</v>
      </c>
      <c r="I12" s="8">
        <f>SUBTOTAL(103,December[7])</f>
        <v>0</v>
      </c>
      <c r="J12" s="8">
        <f>SUBTOTAL(103,December[8])</f>
        <v>0</v>
      </c>
      <c r="K12" s="8">
        <f>SUBTOTAL(103,December[9])</f>
        <v>0</v>
      </c>
      <c r="L12" s="8">
        <f>SUBTOTAL(103,December[10])</f>
        <v>0</v>
      </c>
      <c r="M12" s="8">
        <f>SUBTOTAL(103,December[11])</f>
        <v>0</v>
      </c>
      <c r="N12" s="8">
        <f>SUBTOTAL(103,December[12])</f>
        <v>0</v>
      </c>
      <c r="O12" s="8">
        <f>SUBTOTAL(103,December[13])</f>
        <v>0</v>
      </c>
      <c r="P12" s="8">
        <f>SUBTOTAL(103,December[14])</f>
        <v>0</v>
      </c>
      <c r="Q12" s="8">
        <f>SUBTOTAL(103,December[15])</f>
        <v>0</v>
      </c>
      <c r="R12" s="8">
        <f>SUBTOTAL(103,December[16])</f>
        <v>0</v>
      </c>
      <c r="S12" s="8">
        <f>SUBTOTAL(103,December[17])</f>
        <v>0</v>
      </c>
      <c r="T12" s="8">
        <f>SUBTOTAL(103,December[18])</f>
        <v>0</v>
      </c>
      <c r="U12" s="8">
        <f>SUBTOTAL(103,December[19])</f>
        <v>0</v>
      </c>
      <c r="V12" s="8">
        <f>SUBTOTAL(103,December[20])</f>
        <v>0</v>
      </c>
      <c r="W12" s="8">
        <f>SUBTOTAL(103,December[21])</f>
        <v>0</v>
      </c>
      <c r="X12" s="8">
        <f>SUBTOTAL(103,December[22])</f>
        <v>0</v>
      </c>
      <c r="Y12" s="8">
        <f>SUBTOTAL(103,December[23])</f>
        <v>0</v>
      </c>
      <c r="Z12" s="8">
        <f>SUBTOTAL(103,December[24])</f>
        <v>0</v>
      </c>
      <c r="AA12" s="8">
        <f>SUBTOTAL(103,December[25])</f>
        <v>0</v>
      </c>
      <c r="AB12" s="8">
        <f>SUBTOTAL(103,December[26])</f>
        <v>0</v>
      </c>
      <c r="AC12" s="8">
        <f>SUBTOTAL(103,December[27])</f>
        <v>0</v>
      </c>
      <c r="AD12" s="8">
        <f>SUBTOTAL(103,December[28])</f>
        <v>0</v>
      </c>
      <c r="AE12" s="8">
        <f>SUBTOTAL(103,December[29])</f>
        <v>0</v>
      </c>
      <c r="AF12" s="8">
        <f>SUBTOTAL(109,December[30])</f>
        <v>0</v>
      </c>
      <c r="AG12" s="8">
        <f>SUBTOTAL(109,December[31])</f>
        <v>0</v>
      </c>
      <c r="AH12" s="8">
        <f>SUBTOTAL(109,December[Totaal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6" priority="14" stopIfTrue="1">
      <formula>C7=KeyCustom2</formula>
    </cfRule>
    <cfRule type="expression" dxfId="85" priority="15" stopIfTrue="1">
      <formula>C7=KeyCustom1</formula>
    </cfRule>
    <cfRule type="expression" dxfId="84" priority="16" stopIfTrue="1">
      <formula>C7=KeySick</formula>
    </cfRule>
    <cfRule type="expression" dxfId="83" priority="17" stopIfTrue="1">
      <formula>C7=KeyPersonal</formula>
    </cfRule>
    <cfRule type="expression" dxfId="82" priority="18" stopIfTrue="1">
      <formula>C7=KeyVacation</formula>
    </cfRule>
  </conditionalFormatting>
  <conditionalFormatting sqref="AH7:AH11">
    <cfRule type="dataBar" priority="42">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conditionalFormatting sqref="C2">
    <cfRule type="containsText" dxfId="81" priority="2" operator="containsText" text="V">
      <formula>NOT(ISERROR(SEARCH("V",C2)))</formula>
    </cfRule>
    <cfRule type="containsText" dxfId="80" priority="3" operator="containsText" text="V">
      <formula>NOT(ISERROR(SEARCH("V",C2)))</formula>
    </cfRule>
    <cfRule type="containsText" dxfId="79" priority="9" operator="containsText" text="V">
      <formula>NOT(ISERROR(SEARCH("V",C2)))</formula>
    </cfRule>
    <cfRule type="containsText" dxfId="78" priority="10" operator="containsText" text="V">
      <formula>NOT(ISERROR(SEARCH("V",C2)))</formula>
    </cfRule>
    <cfRule type="containsText" dxfId="77" priority="11" operator="containsText" text="V">
      <formula>NOT(ISERROR(SEARCH("V",C2)))</formula>
    </cfRule>
    <cfRule type="containsText" dxfId="76" priority="12" operator="containsText" text="V">
      <formula>NOT(ISERROR(SEARCH("V",C2)))</formula>
    </cfRule>
  </conditionalFormatting>
  <conditionalFormatting sqref="F2">
    <cfRule type="containsText" dxfId="75" priority="5" operator="containsText" text="e">
      <formula>NOT(ISERROR(SEARCH("e",F2)))</formula>
    </cfRule>
    <cfRule type="cellIs" dxfId="74" priority="6" operator="equal">
      <formula>42767</formula>
    </cfRule>
    <cfRule type="containsText" dxfId="73" priority="7" operator="containsText" text="1/2">
      <formula>NOT(ISERROR(SEARCH("1/2",F2)))</formula>
    </cfRule>
    <cfRule type="containsText" dxfId="72" priority="8" operator="containsText" text="R">
      <formula>NOT(ISERROR(SEARCH("R",F2)))</formula>
    </cfRule>
  </conditionalFormatting>
  <conditionalFormatting sqref="K2">
    <cfRule type="containsText" dxfId="71" priority="1" operator="containsText" text="Z">
      <formula>NOT(ISERROR(SEARCH("Z",K2)))</formula>
    </cfRule>
    <cfRule type="containsText" dxfId="70"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decem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B8"/>
  <sheetViews>
    <sheetView showGridLines="0" workbookViewId="0">
      <selection activeCell="D15" sqref="D15"/>
    </sheetView>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5" t="s">
        <v>51</v>
      </c>
    </row>
    <row r="2" spans="2:2" ht="15" customHeight="1" x14ac:dyDescent="0.25"/>
    <row r="3" spans="2:2" ht="30" customHeight="1" x14ac:dyDescent="0.25">
      <c r="B3" t="s">
        <v>51</v>
      </c>
    </row>
    <row r="4" spans="2:2" ht="30" customHeight="1" x14ac:dyDescent="0.25">
      <c r="B4" s="16" t="s">
        <v>54</v>
      </c>
    </row>
    <row r="5" spans="2:2" ht="30" customHeight="1" x14ac:dyDescent="0.25">
      <c r="B5" s="16" t="s">
        <v>55</v>
      </c>
    </row>
    <row r="6" spans="2:2" ht="30" customHeight="1" x14ac:dyDescent="0.25">
      <c r="B6" s="16" t="s">
        <v>56</v>
      </c>
    </row>
    <row r="7" spans="2:2" ht="30" customHeight="1" x14ac:dyDescent="0.25">
      <c r="B7" s="16" t="s">
        <v>57</v>
      </c>
    </row>
    <row r="8" spans="2:2" ht="30" customHeight="1" x14ac:dyDescent="0.25">
      <c r="B8" s="16" t="s">
        <v>58</v>
      </c>
    </row>
  </sheetData>
  <dataValidations count="3">
    <dataValidation allowBlank="1" showInputMessage="1" showErrorMessage="1" prompt="Titel                                                                   werknemersnamen_x000a_              _x000a__x000a_           _x000a_                _x000a_                                                                     " sqref="B1"/>
    <dataValidation allowBlank="1" showInputMessage="1" showErrorMessage="1" prompt="Voer de namen van werknemers in de werknemerstabel in dit werkblad in. Deze namen worden gebruikt als optie in kolom B van de afwezigheidstabel van elke maand" sqref="A1"/>
    <dataValidation allowBlank="1" showInputMessage="1" showErrorMessage="1" prompt="Voer de werknemersnamen         in deze kolom in               _x000a_                                                        _x000a__x000a_" sqref="B3"/>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1"/>
  <sheetViews>
    <sheetView showGridLines="0" zoomScaleNormal="100" workbookViewId="0">
      <selection activeCell="B2" sqref="B2:U2"/>
    </sheetView>
  </sheetViews>
  <sheetFormatPr defaultColWidth="9.140625"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row>
    <row r="4" spans="2:34" ht="30" customHeight="1" x14ac:dyDescent="0.25">
      <c r="B4" s="7" t="s">
        <v>40</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TEXT(WEEKDAY(DATE(CalendarYear,2,1),1),"aaa")</f>
        <v>za</v>
      </c>
      <c r="D5" s="1" t="str">
        <f>TEXT(WEEKDAY(DATE(CalendarYear,2,2),1),"aaa")</f>
        <v>zo</v>
      </c>
      <c r="E5" s="1" t="str">
        <f>TEXT(WEEKDAY(DATE(CalendarYear,2,3),1),"aaa")</f>
        <v>ma</v>
      </c>
      <c r="F5" s="1" t="str">
        <f>TEXT(WEEKDAY(DATE(CalendarYear,2,4),1),"aaa")</f>
        <v>di</v>
      </c>
      <c r="G5" s="1" t="str">
        <f>TEXT(WEEKDAY(DATE(CalendarYear,2,5),1),"aaa")</f>
        <v>wo</v>
      </c>
      <c r="H5" s="1" t="str">
        <f>TEXT(WEEKDAY(DATE(CalendarYear,2,6),1),"aaa")</f>
        <v>do</v>
      </c>
      <c r="I5" s="1" t="str">
        <f>TEXT(WEEKDAY(DATE(CalendarYear,2,7),1),"aaa")</f>
        <v>vr</v>
      </c>
      <c r="J5" s="1" t="str">
        <f>TEXT(WEEKDAY(DATE(CalendarYear,2,8),1),"aaa")</f>
        <v>za</v>
      </c>
      <c r="K5" s="1" t="str">
        <f>TEXT(WEEKDAY(DATE(CalendarYear,2,9),1),"aaa")</f>
        <v>zo</v>
      </c>
      <c r="L5" s="1" t="str">
        <f>TEXT(WEEKDAY(DATE(CalendarYear,2,10),1),"aaa")</f>
        <v>ma</v>
      </c>
      <c r="M5" s="1" t="str">
        <f>TEXT(WEEKDAY(DATE(CalendarYear,2,11),1),"aaa")</f>
        <v>di</v>
      </c>
      <c r="N5" s="1" t="str">
        <f>TEXT(WEEKDAY(DATE(CalendarYear,2,12),1),"aaa")</f>
        <v>wo</v>
      </c>
      <c r="O5" s="1" t="str">
        <f>TEXT(WEEKDAY(DATE(CalendarYear,2,13),1),"aaa")</f>
        <v>do</v>
      </c>
      <c r="P5" s="1" t="str">
        <f>TEXT(WEEKDAY(DATE(CalendarYear,2,14),1),"aaa")</f>
        <v>vr</v>
      </c>
      <c r="Q5" s="1" t="str">
        <f>TEXT(WEEKDAY(DATE(CalendarYear,2,15),1),"aaa")</f>
        <v>za</v>
      </c>
      <c r="R5" s="1" t="str">
        <f>TEXT(WEEKDAY(DATE(CalendarYear,2,16),1),"aaa")</f>
        <v>zo</v>
      </c>
      <c r="S5" s="1" t="str">
        <f>TEXT(WEEKDAY(DATE(CalendarYear,2,17),1),"aaa")</f>
        <v>ma</v>
      </c>
      <c r="T5" s="1" t="str">
        <f>TEXT(WEEKDAY(DATE(CalendarYear,2,18),1),"aaa")</f>
        <v>di</v>
      </c>
      <c r="U5" s="1" t="str">
        <f>TEXT(WEEKDAY(DATE(CalendarYear,2,19),1),"aaa")</f>
        <v>wo</v>
      </c>
      <c r="V5" s="1" t="str">
        <f>TEXT(WEEKDAY(DATE(CalendarYear,2,20),1),"aaa")</f>
        <v>do</v>
      </c>
      <c r="W5" s="1" t="str">
        <f>TEXT(WEEKDAY(DATE(CalendarYear,2,21),1),"aaa")</f>
        <v>vr</v>
      </c>
      <c r="X5" s="1" t="str">
        <f>TEXT(WEEKDAY(DATE(CalendarYear,2,22),1),"aaa")</f>
        <v>za</v>
      </c>
      <c r="Y5" s="1" t="str">
        <f>TEXT(WEEKDAY(DATE(CalendarYear,2,23),1),"aaa")</f>
        <v>zo</v>
      </c>
      <c r="Z5" s="1" t="str">
        <f>TEXT(WEEKDAY(DATE(CalendarYear,2,24),1),"aaa")</f>
        <v>ma</v>
      </c>
      <c r="AA5" s="1" t="str">
        <f>TEXT(WEEKDAY(DATE(CalendarYear,2,25),1),"aaa")</f>
        <v>di</v>
      </c>
      <c r="AB5" s="1" t="str">
        <f>TEXT(WEEKDAY(DATE(CalendarYear,2,26),1),"aaa")</f>
        <v>wo</v>
      </c>
      <c r="AC5" s="1" t="str">
        <f>TEXT(WEEKDAY(DATE(CalendarYear,2,27),1),"aaa")</f>
        <v>do</v>
      </c>
      <c r="AD5" s="1" t="str">
        <f>TEXT(WEEKDAY(DATE(CalendarYear,2,28),1),"aaa")</f>
        <v>vr</v>
      </c>
      <c r="AE5" s="1" t="str">
        <f>TEXT(WEEKDAY(DATE(CalendarYear,2,29),1),"aaa")</f>
        <v>za</v>
      </c>
      <c r="AF5" s="1"/>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41</v>
      </c>
      <c r="AG6" s="2" t="s">
        <v>42</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COUNTA(Februari[[#This Row],[1]:[29]])</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COUNTA(Februari[[#This Row],[1]:[29]])</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COUNTA(Februari[[#This Row],[1]:[29]])</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COUNTA(Februari[[#This Row],[1]:[29]])</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COUNTA(Februari[[#This Row],[1]:[29]])</f>
        <v>0</v>
      </c>
    </row>
  </sheetData>
  <mergeCells count="4">
    <mergeCell ref="C4:AG4"/>
    <mergeCell ref="D2:E2"/>
    <mergeCell ref="G2:J2"/>
    <mergeCell ref="R2:U2"/>
  </mergeCells>
  <conditionalFormatting sqref="AE6">
    <cfRule type="expression" dxfId="948" priority="28">
      <formula>MONTH(DATE(CalendarYear,2,29))&lt;&gt;2</formula>
    </cfRule>
  </conditionalFormatting>
  <conditionalFormatting sqref="AE5">
    <cfRule type="expression" dxfId="947" priority="27">
      <formula>MONTH(DATE(CalendarYear,2,29))&lt;&gt;2</formula>
    </cfRule>
  </conditionalFormatting>
  <conditionalFormatting sqref="C7:AG11">
    <cfRule type="expression" priority="14" stopIfTrue="1">
      <formula>C7=""</formula>
    </cfRule>
    <cfRule type="expression" dxfId="946" priority="15" stopIfTrue="1">
      <formula>C7=KeyCustom2</formula>
    </cfRule>
  </conditionalFormatting>
  <conditionalFormatting sqref="C7:AG11">
    <cfRule type="expression" dxfId="945" priority="17" stopIfTrue="1">
      <formula>C7=KeyCustom1</formula>
    </cfRule>
    <cfRule type="expression" dxfId="944" priority="18" stopIfTrue="1">
      <formula>C7=KeySick</formula>
    </cfRule>
    <cfRule type="expression" dxfId="943" priority="19" stopIfTrue="1">
      <formula>C7=KeyPersonal</formula>
    </cfRule>
    <cfRule type="expression" dxfId="942" priority="20" stopIfTrue="1">
      <formula>C7=KeyVacation</formula>
    </cfRule>
  </conditionalFormatting>
  <conditionalFormatting sqref="AH7:AH11">
    <cfRule type="dataBar" priority="165">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conditionalFormatting sqref="C2">
    <cfRule type="containsText" dxfId="941" priority="2" operator="containsText" text="V">
      <formula>NOT(ISERROR(SEARCH("V",C2)))</formula>
    </cfRule>
    <cfRule type="containsText" dxfId="940" priority="3" operator="containsText" text="V">
      <formula>NOT(ISERROR(SEARCH("V",C2)))</formula>
    </cfRule>
    <cfRule type="containsText" dxfId="939" priority="9" operator="containsText" text="V">
      <formula>NOT(ISERROR(SEARCH("V",C2)))</formula>
    </cfRule>
    <cfRule type="containsText" dxfId="938" priority="10" operator="containsText" text="V">
      <formula>NOT(ISERROR(SEARCH("V",C2)))</formula>
    </cfRule>
    <cfRule type="containsText" dxfId="937" priority="11" operator="containsText" text="V">
      <formula>NOT(ISERROR(SEARCH("V",C2)))</formula>
    </cfRule>
    <cfRule type="containsText" dxfId="936" priority="12" operator="containsText" text="V">
      <formula>NOT(ISERROR(SEARCH("V",C2)))</formula>
    </cfRule>
  </conditionalFormatting>
  <conditionalFormatting sqref="F2">
    <cfRule type="containsText" dxfId="935" priority="5" operator="containsText" text="e">
      <formula>NOT(ISERROR(SEARCH("e",F2)))</formula>
    </cfRule>
    <cfRule type="cellIs" dxfId="934" priority="6" operator="equal">
      <formula>42767</formula>
    </cfRule>
    <cfRule type="containsText" dxfId="933" priority="7" operator="containsText" text="1/2">
      <formula>NOT(ISERROR(SEARCH("1/2",F2)))</formula>
    </cfRule>
    <cfRule type="containsText" dxfId="932" priority="8" operator="containsText" text="R">
      <formula>NOT(ISERROR(SEARCH("R",F2)))</formula>
    </cfRule>
  </conditionalFormatting>
  <conditionalFormatting sqref="K2">
    <cfRule type="containsText" dxfId="931" priority="1" operator="containsText" text="Z">
      <formula>NOT(ISERROR(SEARCH("Z",K2)))</formula>
    </cfRule>
    <cfRule type="containsText" dxfId="930" priority="4" operator="containsText" text="Z">
      <formula>NOT(ISERROR(SEARCH("Z",K2)))</formula>
    </cfRule>
  </conditionalFormatting>
  <dataValidations xWindow="232" yWindow="365" count="14">
    <dataValidation allowBlank="1" showInputMessage="1" showErrorMessage="1" prompt="Automatisch bijgewerkt jaar op basis van het jaar dat in het werkblad januari is ingevoerd" sqref="AH4"/>
    <dataValidation allowBlank="1" showInputMessage="1" showErrorMessage="1" prompt="Houd de afwezigheid in februar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De automatisch bijgewerkte titel is in deze cel opgenomen. Als u de titel wilt wijzigen, werk dan B1 in het januari-werkblad bij" sqref="B1"/>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43</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TEXT(WEEKDAY(DATE(CalendarYear,3,1),1),"aaa")</f>
        <v>zo</v>
      </c>
      <c r="D5" s="1" t="str">
        <f>TEXT(WEEKDAY(DATE(CalendarYear,3,2),1),"aaa")</f>
        <v>ma</v>
      </c>
      <c r="E5" s="1" t="str">
        <f>TEXT(WEEKDAY(DATE(CalendarYear,3,3),1),"aaa")</f>
        <v>di</v>
      </c>
      <c r="F5" s="1" t="str">
        <f>TEXT(WEEKDAY(DATE(CalendarYear,3,4),1),"aaa")</f>
        <v>wo</v>
      </c>
      <c r="G5" s="1" t="str">
        <f>TEXT(WEEKDAY(DATE(CalendarYear,3,5),1),"aaa")</f>
        <v>do</v>
      </c>
      <c r="H5" s="1" t="str">
        <f>TEXT(WEEKDAY(DATE(CalendarYear,3,6),1),"aaa")</f>
        <v>vr</v>
      </c>
      <c r="I5" s="1" t="str">
        <f>TEXT(WEEKDAY(DATE(CalendarYear,3,7),1),"aaa")</f>
        <v>za</v>
      </c>
      <c r="J5" s="1" t="str">
        <f>TEXT(WEEKDAY(DATE(CalendarYear,3,8),1),"aaa")</f>
        <v>zo</v>
      </c>
      <c r="K5" s="1" t="str">
        <f>TEXT(WEEKDAY(DATE(CalendarYear,3,9),1),"aaa")</f>
        <v>ma</v>
      </c>
      <c r="L5" s="1" t="str">
        <f>TEXT(WEEKDAY(DATE(CalendarYear,3,10),1),"aaa")</f>
        <v>di</v>
      </c>
      <c r="M5" s="1" t="str">
        <f>TEXT(WEEKDAY(DATE(CalendarYear,3,11),1),"aaa")</f>
        <v>wo</v>
      </c>
      <c r="N5" s="1" t="str">
        <f>TEXT(WEEKDAY(DATE(CalendarYear,3,12),1),"aaa")</f>
        <v>do</v>
      </c>
      <c r="O5" s="1" t="str">
        <f>TEXT(WEEKDAY(DATE(CalendarYear,3,13),1),"aaa")</f>
        <v>vr</v>
      </c>
      <c r="P5" s="1" t="str">
        <f>TEXT(WEEKDAY(DATE(CalendarYear,3,14),1),"aaa")</f>
        <v>za</v>
      </c>
      <c r="Q5" s="1" t="str">
        <f>TEXT(WEEKDAY(DATE(CalendarYear,3,15),1),"aaa")</f>
        <v>zo</v>
      </c>
      <c r="R5" s="1" t="str">
        <f>TEXT(WEEKDAY(DATE(CalendarYear,3,16),1),"aaa")</f>
        <v>ma</v>
      </c>
      <c r="S5" s="1" t="str">
        <f>TEXT(WEEKDAY(DATE(CalendarYear,3,17),1),"aaa")</f>
        <v>di</v>
      </c>
      <c r="T5" s="1" t="str">
        <f>TEXT(WEEKDAY(DATE(CalendarYear,3,18),1),"aaa")</f>
        <v>wo</v>
      </c>
      <c r="U5" s="1" t="str">
        <f>TEXT(WEEKDAY(DATE(CalendarYear,3,19),1),"aaa")</f>
        <v>do</v>
      </c>
      <c r="V5" s="1" t="str">
        <f>TEXT(WEEKDAY(DATE(CalendarYear,3,20),1),"aaa")</f>
        <v>vr</v>
      </c>
      <c r="W5" s="1" t="str">
        <f>TEXT(WEEKDAY(DATE(CalendarYear,3,21),1),"aaa")</f>
        <v>za</v>
      </c>
      <c r="X5" s="1" t="str">
        <f>TEXT(WEEKDAY(DATE(CalendarYear,3,22),1),"aaa")</f>
        <v>zo</v>
      </c>
      <c r="Y5" s="1" t="str">
        <f>TEXT(WEEKDAY(DATE(CalendarYear,3,23),1),"aaa")</f>
        <v>ma</v>
      </c>
      <c r="Z5" s="1" t="str">
        <f>TEXT(WEEKDAY(DATE(CalendarYear,3,24),1),"aaa")</f>
        <v>di</v>
      </c>
      <c r="AA5" s="1" t="str">
        <f>TEXT(WEEKDAY(DATE(CalendarYear,3,25),1),"aaa")</f>
        <v>wo</v>
      </c>
      <c r="AB5" s="1" t="str">
        <f>TEXT(WEEKDAY(DATE(CalendarYear,3,26),1),"aaa")</f>
        <v>do</v>
      </c>
      <c r="AC5" s="1" t="str">
        <f>TEXT(WEEKDAY(DATE(CalendarYear,3,27),1),"aaa")</f>
        <v>vr</v>
      </c>
      <c r="AD5" s="1" t="str">
        <f>TEXT(WEEKDAY(DATE(CalendarYear,3,28),1),"aaa")</f>
        <v>za</v>
      </c>
      <c r="AE5" s="1" t="str">
        <f>TEXT(WEEKDAY(DATE(CalendarYear,3,29),1),"aaa")</f>
        <v>zo</v>
      </c>
      <c r="AF5" s="1" t="str">
        <f>TEXT(WEEKDAY(DATE(CalendarYear,3,30),1),"aaa")</f>
        <v>ma</v>
      </c>
      <c r="AG5" s="1" t="str">
        <f>TEXT(WEEKDAY(DATE(CalendarYear,3,31),1),"aaa")</f>
        <v>di</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COUNTA(Maart[[#This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COUNTA(Maart[[#This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COUNTA(Maart[[#This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COUNTA(Maart[[#This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COUNTA(Maart[[#This Row],[1]:[31]])</f>
        <v>0</v>
      </c>
    </row>
    <row r="12" spans="2:34" ht="30" customHeight="1" x14ac:dyDescent="0.25">
      <c r="B12" s="14" t="str">
        <f>MonthName&amp;" totaal"</f>
        <v>Maart totaal</v>
      </c>
      <c r="C12" s="8">
        <f>SUBTOTAL(103,Maart[1])</f>
        <v>0</v>
      </c>
      <c r="D12" s="8">
        <f>SUBTOTAL(103,Maart[2])</f>
        <v>0</v>
      </c>
      <c r="E12" s="8">
        <f>SUBTOTAL(103,Maart[3])</f>
        <v>0</v>
      </c>
      <c r="F12" s="8">
        <f>SUBTOTAL(103,Maart[4])</f>
        <v>0</v>
      </c>
      <c r="G12" s="8">
        <f>SUBTOTAL(103,Maart[5])</f>
        <v>0</v>
      </c>
      <c r="H12" s="8">
        <f>SUBTOTAL(103,Maart[6])</f>
        <v>0</v>
      </c>
      <c r="I12" s="8">
        <f>SUBTOTAL(103,Maart[7])</f>
        <v>0</v>
      </c>
      <c r="J12" s="8">
        <f>SUBTOTAL(103,Maart[8])</f>
        <v>0</v>
      </c>
      <c r="K12" s="8">
        <f>SUBTOTAL(103,Maart[9])</f>
        <v>0</v>
      </c>
      <c r="L12" s="8">
        <f>SUBTOTAL(103,Maart[10])</f>
        <v>0</v>
      </c>
      <c r="M12" s="8">
        <f>SUBTOTAL(103,Maart[11])</f>
        <v>0</v>
      </c>
      <c r="N12" s="8">
        <f>SUBTOTAL(103,Maart[12])</f>
        <v>0</v>
      </c>
      <c r="O12" s="8">
        <f>SUBTOTAL(103,Maart[13])</f>
        <v>0</v>
      </c>
      <c r="P12" s="8">
        <f>SUBTOTAL(103,Maart[14])</f>
        <v>0</v>
      </c>
      <c r="Q12" s="8">
        <f>SUBTOTAL(103,Maart[15])</f>
        <v>0</v>
      </c>
      <c r="R12" s="8">
        <f>SUBTOTAL(103,Maart[16])</f>
        <v>0</v>
      </c>
      <c r="S12" s="8">
        <f>SUBTOTAL(103,Maart[17])</f>
        <v>0</v>
      </c>
      <c r="T12" s="8">
        <f>SUBTOTAL(103,Maart[18])</f>
        <v>0</v>
      </c>
      <c r="U12" s="8">
        <f>SUBTOTAL(103,Maart[19])</f>
        <v>0</v>
      </c>
      <c r="V12" s="8">
        <f>SUBTOTAL(103,Maart[20])</f>
        <v>0</v>
      </c>
      <c r="W12" s="8">
        <f>SUBTOTAL(103,Maart[21])</f>
        <v>0</v>
      </c>
      <c r="X12" s="8">
        <f>SUBTOTAL(103,Maart[22])</f>
        <v>0</v>
      </c>
      <c r="Y12" s="8">
        <f>SUBTOTAL(103,Maart[23])</f>
        <v>0</v>
      </c>
      <c r="Z12" s="8">
        <f>SUBTOTAL(103,Maart[24])</f>
        <v>0</v>
      </c>
      <c r="AA12" s="8">
        <f>SUBTOTAL(103,Maart[25])</f>
        <v>0</v>
      </c>
      <c r="AB12" s="8">
        <f>SUBTOTAL(103,Maart[26])</f>
        <v>0</v>
      </c>
      <c r="AC12" s="8">
        <f>SUBTOTAL(103,Maart[27])</f>
        <v>0</v>
      </c>
      <c r="AD12" s="8">
        <f>SUBTOTAL(103,Maart[28])</f>
        <v>0</v>
      </c>
      <c r="AE12" s="8">
        <f>SUBTOTAL(103,Maart[29])</f>
        <v>0</v>
      </c>
      <c r="AF12" s="8">
        <f>SUBTOTAL(109,Maart[30])</f>
        <v>0</v>
      </c>
      <c r="AG12" s="8">
        <f>SUBTOTAL(109,Maart[31])</f>
        <v>0</v>
      </c>
      <c r="AH12" s="8">
        <f>SUBTOTAL(109,Maart[Totaal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60" priority="14" stopIfTrue="1">
      <formula>C7=KeyCustom2</formula>
    </cfRule>
    <cfRule type="expression" dxfId="859" priority="15" stopIfTrue="1">
      <formula>C7=KeyCustom1</formula>
    </cfRule>
    <cfRule type="expression" dxfId="858" priority="16" stopIfTrue="1">
      <formula>C7=KeySick</formula>
    </cfRule>
    <cfRule type="expression" dxfId="857" priority="17" stopIfTrue="1">
      <formula>C7=KeyPersonal</formula>
    </cfRule>
    <cfRule type="expression" dxfId="856"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conditionalFormatting sqref="C2">
    <cfRule type="containsText" dxfId="855" priority="2" operator="containsText" text="V">
      <formula>NOT(ISERROR(SEARCH("V",C2)))</formula>
    </cfRule>
    <cfRule type="containsText" dxfId="854" priority="3" operator="containsText" text="V">
      <formula>NOT(ISERROR(SEARCH("V",C2)))</formula>
    </cfRule>
    <cfRule type="containsText" dxfId="853" priority="9" operator="containsText" text="V">
      <formula>NOT(ISERROR(SEARCH("V",C2)))</formula>
    </cfRule>
    <cfRule type="containsText" dxfId="852" priority="10" operator="containsText" text="V">
      <formula>NOT(ISERROR(SEARCH("V",C2)))</formula>
    </cfRule>
    <cfRule type="containsText" dxfId="851" priority="11" operator="containsText" text="V">
      <formula>NOT(ISERROR(SEARCH("V",C2)))</formula>
    </cfRule>
    <cfRule type="containsText" dxfId="850" priority="12" operator="containsText" text="V">
      <formula>NOT(ISERROR(SEARCH("V",C2)))</formula>
    </cfRule>
  </conditionalFormatting>
  <conditionalFormatting sqref="F2">
    <cfRule type="containsText" dxfId="849" priority="5" operator="containsText" text="e">
      <formula>NOT(ISERROR(SEARCH("e",F2)))</formula>
    </cfRule>
    <cfRule type="cellIs" dxfId="848" priority="6" operator="equal">
      <formula>42767</formula>
    </cfRule>
    <cfRule type="containsText" dxfId="847" priority="7" operator="containsText" text="1/2">
      <formula>NOT(ISERROR(SEARCH("1/2",F2)))</formula>
    </cfRule>
    <cfRule type="containsText" dxfId="846" priority="8" operator="containsText" text="R">
      <formula>NOT(ISERROR(SEARCH("R",F2)))</formula>
    </cfRule>
  </conditionalFormatting>
  <conditionalFormatting sqref="K2">
    <cfRule type="containsText" dxfId="845" priority="1" operator="containsText" text="Z">
      <formula>NOT(ISERROR(SEARCH("Z",K2)))</formula>
    </cfRule>
    <cfRule type="containsText" dxfId="844"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aart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44</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TEXT(WEEKDAY(DATE(CalendarYear,4,1),1),"aaa")</f>
        <v>wo</v>
      </c>
      <c r="D5" s="1" t="str">
        <f>TEXT(WEEKDAY(DATE(CalendarYear,4,2),1),"aaa")</f>
        <v>do</v>
      </c>
      <c r="E5" s="1" t="str">
        <f>TEXT(WEEKDAY(DATE(CalendarYear,4,3),1),"aaa")</f>
        <v>vr</v>
      </c>
      <c r="F5" s="1" t="str">
        <f>TEXT(WEEKDAY(DATE(CalendarYear,4,4),1),"aaa")</f>
        <v>za</v>
      </c>
      <c r="G5" s="1" t="str">
        <f>TEXT(WEEKDAY(DATE(CalendarYear,4,5),1),"aaa")</f>
        <v>zo</v>
      </c>
      <c r="H5" s="1" t="str">
        <f>TEXT(WEEKDAY(DATE(CalendarYear,4,6),1),"aaa")</f>
        <v>ma</v>
      </c>
      <c r="I5" s="1" t="str">
        <f>TEXT(WEEKDAY(DATE(CalendarYear,4,7),1),"aaa")</f>
        <v>di</v>
      </c>
      <c r="J5" s="1" t="str">
        <f>TEXT(WEEKDAY(DATE(CalendarYear,4,8),1),"aaa")</f>
        <v>wo</v>
      </c>
      <c r="K5" s="1" t="str">
        <f>TEXT(WEEKDAY(DATE(CalendarYear,4,9),1),"aaa")</f>
        <v>do</v>
      </c>
      <c r="L5" s="1" t="str">
        <f>TEXT(WEEKDAY(DATE(CalendarYear,4,10),1),"aaa")</f>
        <v>vr</v>
      </c>
      <c r="M5" s="1" t="str">
        <f>TEXT(WEEKDAY(DATE(CalendarYear,4,11),1),"aaa")</f>
        <v>za</v>
      </c>
      <c r="N5" s="1" t="str">
        <f>TEXT(WEEKDAY(DATE(CalendarYear,4,12),1),"aaa")</f>
        <v>zo</v>
      </c>
      <c r="O5" s="1" t="str">
        <f>TEXT(WEEKDAY(DATE(CalendarYear,4,13),1),"aaa")</f>
        <v>ma</v>
      </c>
      <c r="P5" s="1" t="str">
        <f>TEXT(WEEKDAY(DATE(CalendarYear,4,14),1),"aaa")</f>
        <v>di</v>
      </c>
      <c r="Q5" s="1" t="str">
        <f>TEXT(WEEKDAY(DATE(CalendarYear,4,15),1),"aaa")</f>
        <v>wo</v>
      </c>
      <c r="R5" s="1" t="str">
        <f>TEXT(WEEKDAY(DATE(CalendarYear,4,16),1),"aaa")</f>
        <v>do</v>
      </c>
      <c r="S5" s="1" t="str">
        <f>TEXT(WEEKDAY(DATE(CalendarYear,4,17),1),"aaa")</f>
        <v>vr</v>
      </c>
      <c r="T5" s="1" t="str">
        <f>TEXT(WEEKDAY(DATE(CalendarYear,4,18),1),"aaa")</f>
        <v>za</v>
      </c>
      <c r="U5" s="1" t="str">
        <f>TEXT(WEEKDAY(DATE(CalendarYear,4,19),1),"aaa")</f>
        <v>zo</v>
      </c>
      <c r="V5" s="1" t="str">
        <f>TEXT(WEEKDAY(DATE(CalendarYear,4,20),1),"aaa")</f>
        <v>ma</v>
      </c>
      <c r="W5" s="1" t="str">
        <f>TEXT(WEEKDAY(DATE(CalendarYear,4,21),1),"aaa")</f>
        <v>di</v>
      </c>
      <c r="X5" s="1" t="str">
        <f>TEXT(WEEKDAY(DATE(CalendarYear,4,22),1),"aaa")</f>
        <v>wo</v>
      </c>
      <c r="Y5" s="1" t="str">
        <f>TEXT(WEEKDAY(DATE(CalendarYear,4,23),1),"aaa")</f>
        <v>do</v>
      </c>
      <c r="Z5" s="1" t="str">
        <f>TEXT(WEEKDAY(DATE(CalendarYear,4,24),1),"aaa")</f>
        <v>vr</v>
      </c>
      <c r="AA5" s="1" t="str">
        <f>TEXT(WEEKDAY(DATE(CalendarYear,4,25),1),"aaa")</f>
        <v>za</v>
      </c>
      <c r="AB5" s="1" t="str">
        <f>TEXT(WEEKDAY(DATE(CalendarYear,4,26),1),"aaa")</f>
        <v>zo</v>
      </c>
      <c r="AC5" s="1" t="str">
        <f>TEXT(WEEKDAY(DATE(CalendarYear,4,27),1),"aaa")</f>
        <v>ma</v>
      </c>
      <c r="AD5" s="1" t="str">
        <f>TEXT(WEEKDAY(DATE(CalendarYear,4,28),1),"aaa")</f>
        <v>di</v>
      </c>
      <c r="AE5" s="1" t="str">
        <f>TEXT(WEEKDAY(DATE(CalendarYear,4,29),1),"aaa")</f>
        <v>wo</v>
      </c>
      <c r="AF5" s="1" t="str">
        <f>TEXT(WEEKDAY(DATE(CalendarYear,4,30),1),"aaa")</f>
        <v>do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COUNTA(April[[#This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COUNTA(April[[#This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COUNTA(April[[#This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COUNTA(April[[#This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COUNTA(April[[#This Row],[1]:[31]])</f>
        <v>0</v>
      </c>
    </row>
    <row r="12" spans="2:34" ht="30" customHeight="1" x14ac:dyDescent="0.25">
      <c r="B12" s="14" t="str">
        <f>MonthName&amp;" totaal"</f>
        <v>April totaal</v>
      </c>
      <c r="C12" s="8">
        <f>SUBTOTAL(103,April[1])</f>
        <v>0</v>
      </c>
      <c r="D12" s="8">
        <f>SUBTOTAL(103,April[2])</f>
        <v>0</v>
      </c>
      <c r="E12" s="8">
        <f>SUBTOTAL(103,April[3])</f>
        <v>0</v>
      </c>
      <c r="F12" s="8">
        <f>SUBTOTAL(103,April[4])</f>
        <v>0</v>
      </c>
      <c r="G12" s="8">
        <f>SUBTOTAL(103,April[5])</f>
        <v>0</v>
      </c>
      <c r="H12" s="8">
        <f>SUBTOTAL(103,April[6])</f>
        <v>0</v>
      </c>
      <c r="I12" s="8">
        <f>SUBTOTAL(103,April[7])</f>
        <v>0</v>
      </c>
      <c r="J12" s="8">
        <f>SUBTOTAL(103,April[8])</f>
        <v>0</v>
      </c>
      <c r="K12" s="8">
        <f>SUBTOTAL(103,April[9])</f>
        <v>0</v>
      </c>
      <c r="L12" s="8">
        <f>SUBTOTAL(103,April[10])</f>
        <v>0</v>
      </c>
      <c r="M12" s="8">
        <f>SUBTOTAL(103,April[11])</f>
        <v>0</v>
      </c>
      <c r="N12" s="8">
        <f>SUBTOTAL(103,April[12])</f>
        <v>0</v>
      </c>
      <c r="O12" s="8">
        <f>SUBTOTAL(103,April[13])</f>
        <v>0</v>
      </c>
      <c r="P12" s="8">
        <f>SUBTOTAL(103,April[14])</f>
        <v>0</v>
      </c>
      <c r="Q12" s="8">
        <f>SUBTOTAL(103,April[15])</f>
        <v>0</v>
      </c>
      <c r="R12" s="8">
        <f>SUBTOTAL(103,April[16])</f>
        <v>0</v>
      </c>
      <c r="S12" s="8">
        <f>SUBTOTAL(103,April[17])</f>
        <v>0</v>
      </c>
      <c r="T12" s="8">
        <f>SUBTOTAL(103,April[18])</f>
        <v>0</v>
      </c>
      <c r="U12" s="8">
        <f>SUBTOTAL(103,April[19])</f>
        <v>0</v>
      </c>
      <c r="V12" s="8">
        <f>SUBTOTAL(103,April[20])</f>
        <v>0</v>
      </c>
      <c r="W12" s="8">
        <f>SUBTOTAL(103,April[21])</f>
        <v>0</v>
      </c>
      <c r="X12" s="8">
        <f>SUBTOTAL(103,April[22])</f>
        <v>0</v>
      </c>
      <c r="Y12" s="8">
        <f>SUBTOTAL(103,April[23])</f>
        <v>0</v>
      </c>
      <c r="Z12" s="8">
        <f>SUBTOTAL(103,April[24])</f>
        <v>0</v>
      </c>
      <c r="AA12" s="8">
        <f>SUBTOTAL(103,April[25])</f>
        <v>0</v>
      </c>
      <c r="AB12" s="8">
        <f>SUBTOTAL(103,April[26])</f>
        <v>0</v>
      </c>
      <c r="AC12" s="8">
        <f>SUBTOTAL(103,April[27])</f>
        <v>0</v>
      </c>
      <c r="AD12" s="8">
        <f>SUBTOTAL(103,April[28])</f>
        <v>0</v>
      </c>
      <c r="AE12" s="8">
        <f>SUBTOTAL(103,April[29])</f>
        <v>0</v>
      </c>
      <c r="AF12" s="8">
        <f>SUBTOTAL(109,April[30])</f>
        <v>0</v>
      </c>
      <c r="AG12" s="8">
        <f>SUBTOTAL(109,April[31])</f>
        <v>0</v>
      </c>
      <c r="AH12" s="8">
        <f>SUBTOTAL(109,April[Totaal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774" priority="14" stopIfTrue="1">
      <formula>C7=KeyCustom2</formula>
    </cfRule>
    <cfRule type="expression" dxfId="773" priority="15" stopIfTrue="1">
      <formula>C7=KeyCustom1</formula>
    </cfRule>
    <cfRule type="expression" dxfId="772" priority="16" stopIfTrue="1">
      <formula>C7=KeySick</formula>
    </cfRule>
    <cfRule type="expression" dxfId="771" priority="17" stopIfTrue="1">
      <formula>C7=KeyPersonal</formula>
    </cfRule>
    <cfRule type="expression" dxfId="770"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conditionalFormatting sqref="C2">
    <cfRule type="containsText" dxfId="769" priority="2" operator="containsText" text="V">
      <formula>NOT(ISERROR(SEARCH("V",C2)))</formula>
    </cfRule>
    <cfRule type="containsText" dxfId="768" priority="3" operator="containsText" text="V">
      <formula>NOT(ISERROR(SEARCH("V",C2)))</formula>
    </cfRule>
    <cfRule type="containsText" dxfId="767" priority="9" operator="containsText" text="V">
      <formula>NOT(ISERROR(SEARCH("V",C2)))</formula>
    </cfRule>
    <cfRule type="containsText" dxfId="766" priority="10" operator="containsText" text="V">
      <formula>NOT(ISERROR(SEARCH("V",C2)))</formula>
    </cfRule>
    <cfRule type="containsText" dxfId="765" priority="11" operator="containsText" text="V">
      <formula>NOT(ISERROR(SEARCH("V",C2)))</formula>
    </cfRule>
    <cfRule type="containsText" dxfId="764" priority="12" operator="containsText" text="V">
      <formula>NOT(ISERROR(SEARCH("V",C2)))</formula>
    </cfRule>
  </conditionalFormatting>
  <conditionalFormatting sqref="F2">
    <cfRule type="containsText" dxfId="763" priority="5" operator="containsText" text="e">
      <formula>NOT(ISERROR(SEARCH("e",F2)))</formula>
    </cfRule>
    <cfRule type="cellIs" dxfId="762" priority="6" operator="equal">
      <formula>42767</formula>
    </cfRule>
    <cfRule type="containsText" dxfId="761" priority="7" operator="containsText" text="1/2">
      <formula>NOT(ISERROR(SEARCH("1/2",F2)))</formula>
    </cfRule>
    <cfRule type="containsText" dxfId="760" priority="8" operator="containsText" text="R">
      <formula>NOT(ISERROR(SEARCH("R",F2)))</formula>
    </cfRule>
  </conditionalFormatting>
  <conditionalFormatting sqref="K2">
    <cfRule type="containsText" dxfId="759" priority="1" operator="containsText" text="Z">
      <formula>NOT(ISERROR(SEARCH("Z",K2)))</formula>
    </cfRule>
    <cfRule type="containsText" dxfId="758"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pril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52</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TEXT(WEEKDAY(DATE(CalendarYear,5,1),1),"aaa")</f>
        <v>vr</v>
      </c>
      <c r="D5" s="1" t="str">
        <f>TEXT(WEEKDAY(DATE(CalendarYear,5,2),1),"aaa")</f>
        <v>za</v>
      </c>
      <c r="E5" s="1" t="str">
        <f>TEXT(WEEKDAY(DATE(CalendarYear,5,3),1),"aaa")</f>
        <v>zo</v>
      </c>
      <c r="F5" s="1" t="str">
        <f>TEXT(WEEKDAY(DATE(CalendarYear,5,4),1),"aaa")</f>
        <v>ma</v>
      </c>
      <c r="G5" s="1" t="str">
        <f>TEXT(WEEKDAY(DATE(CalendarYear,5,5),1),"aaa")</f>
        <v>di</v>
      </c>
      <c r="H5" s="1" t="str">
        <f>TEXT(WEEKDAY(DATE(CalendarYear,5,6),1),"aaa")</f>
        <v>wo</v>
      </c>
      <c r="I5" s="1" t="str">
        <f>TEXT(WEEKDAY(DATE(CalendarYear,5,7),1),"aaa")</f>
        <v>do</v>
      </c>
      <c r="J5" s="1" t="str">
        <f>TEXT(WEEKDAY(DATE(CalendarYear,5,8),1),"aaa")</f>
        <v>vr</v>
      </c>
      <c r="K5" s="1" t="str">
        <f>TEXT(WEEKDAY(DATE(CalendarYear,5,9),1),"aaa")</f>
        <v>za</v>
      </c>
      <c r="L5" s="1" t="str">
        <f>TEXT(WEEKDAY(DATE(CalendarYear,5,10),1),"aaa")</f>
        <v>zo</v>
      </c>
      <c r="M5" s="1" t="str">
        <f>TEXT(WEEKDAY(DATE(CalendarYear,5,11),1),"aaa")</f>
        <v>ma</v>
      </c>
      <c r="N5" s="1" t="str">
        <f>TEXT(WEEKDAY(DATE(CalendarYear,5,12),1),"aaa")</f>
        <v>di</v>
      </c>
      <c r="O5" s="1" t="str">
        <f>TEXT(WEEKDAY(DATE(CalendarYear,5,13),1),"aaa")</f>
        <v>wo</v>
      </c>
      <c r="P5" s="1" t="str">
        <f>TEXT(WEEKDAY(DATE(CalendarYear,5,14),1),"aaa")</f>
        <v>do</v>
      </c>
      <c r="Q5" s="1" t="str">
        <f>TEXT(WEEKDAY(DATE(CalendarYear,5,15),1),"aaa")</f>
        <v>vr</v>
      </c>
      <c r="R5" s="1" t="str">
        <f>TEXT(WEEKDAY(DATE(CalendarYear,5,16),1),"aaa")</f>
        <v>za</v>
      </c>
      <c r="S5" s="1" t="str">
        <f>TEXT(WEEKDAY(DATE(CalendarYear,5,17),1),"aaa")</f>
        <v>zo</v>
      </c>
      <c r="T5" s="1" t="str">
        <f>TEXT(WEEKDAY(DATE(CalendarYear,5,18),1),"aaa")</f>
        <v>ma</v>
      </c>
      <c r="U5" s="1" t="str">
        <f>TEXT(WEEKDAY(DATE(CalendarYear,5,19),1),"aaa")</f>
        <v>di</v>
      </c>
      <c r="V5" s="1" t="str">
        <f>TEXT(WEEKDAY(DATE(CalendarYear,5,20),1),"aaa")</f>
        <v>wo</v>
      </c>
      <c r="W5" s="1" t="str">
        <f>TEXT(WEEKDAY(DATE(CalendarYear,5,21),1),"aaa")</f>
        <v>do</v>
      </c>
      <c r="X5" s="1" t="str">
        <f>TEXT(WEEKDAY(DATE(CalendarYear,5,22),1),"aaa")</f>
        <v>vr</v>
      </c>
      <c r="Y5" s="1" t="str">
        <f>TEXT(WEEKDAY(DATE(CalendarYear,5,23),1),"aaa")</f>
        <v>za</v>
      </c>
      <c r="Z5" s="1" t="str">
        <f>TEXT(WEEKDAY(DATE(CalendarYear,5,24),1),"aaa")</f>
        <v>zo</v>
      </c>
      <c r="AA5" s="1" t="str">
        <f>TEXT(WEEKDAY(DATE(CalendarYear,5,25),1),"aaa")</f>
        <v>ma</v>
      </c>
      <c r="AB5" s="1" t="str">
        <f>TEXT(WEEKDAY(DATE(CalendarYear,5,26),1),"aaa")</f>
        <v>di</v>
      </c>
      <c r="AC5" s="1" t="str">
        <f>TEXT(WEEKDAY(DATE(CalendarYear,5,27),1),"aaa")</f>
        <v>wo</v>
      </c>
      <c r="AD5" s="1" t="str">
        <f>TEXT(WEEKDAY(DATE(CalendarYear,5,28),1),"aaa")</f>
        <v>do</v>
      </c>
      <c r="AE5" s="1" t="str">
        <f>TEXT(WEEKDAY(DATE(CalendarYear,5,29),1),"aaa")</f>
        <v>vr</v>
      </c>
      <c r="AF5" s="1" t="str">
        <f>TEXT(WEEKDAY(DATE(CalendarYear,5,30),1),"aaa")</f>
        <v>za</v>
      </c>
      <c r="AG5" s="1" t="str">
        <f>TEXT(WEEKDAY(DATE(CalendarYear,5,31),1),"aaa")</f>
        <v>zo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COUNTA(Mei[[#This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COUNTA(Mei[[#This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COUNTA(Mei[[#This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COUNTA(Mei[[#This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COUNTA(Mei[[#This Row],[1]:[31]])</f>
        <v>0</v>
      </c>
    </row>
    <row r="12" spans="2:34" ht="30" customHeight="1" x14ac:dyDescent="0.25">
      <c r="B12" s="14" t="str">
        <f>MonthName&amp;" totaal"</f>
        <v>Mei totaal</v>
      </c>
      <c r="C12" s="8">
        <f>SUBTOTAL(103,Mei[1])</f>
        <v>0</v>
      </c>
      <c r="D12" s="8">
        <f>SUBTOTAL(103,Mei[2])</f>
        <v>0</v>
      </c>
      <c r="E12" s="8">
        <f>SUBTOTAL(103,Mei[3])</f>
        <v>0</v>
      </c>
      <c r="F12" s="8">
        <f>SUBTOTAL(103,Mei[4])</f>
        <v>0</v>
      </c>
      <c r="G12" s="8">
        <f>SUBTOTAL(103,Mei[5])</f>
        <v>0</v>
      </c>
      <c r="H12" s="8">
        <f>SUBTOTAL(103,Mei[6])</f>
        <v>0</v>
      </c>
      <c r="I12" s="8">
        <f>SUBTOTAL(103,Mei[7])</f>
        <v>0</v>
      </c>
      <c r="J12" s="8">
        <f>SUBTOTAL(103,Mei[8])</f>
        <v>0</v>
      </c>
      <c r="K12" s="8">
        <f>SUBTOTAL(103,Mei[9])</f>
        <v>0</v>
      </c>
      <c r="L12" s="8">
        <f>SUBTOTAL(103,Mei[10])</f>
        <v>0</v>
      </c>
      <c r="M12" s="8">
        <f>SUBTOTAL(103,Mei[11])</f>
        <v>0</v>
      </c>
      <c r="N12" s="8">
        <f>SUBTOTAL(103,Mei[12])</f>
        <v>0</v>
      </c>
      <c r="O12" s="8">
        <f>SUBTOTAL(103,Mei[13])</f>
        <v>0</v>
      </c>
      <c r="P12" s="8">
        <f>SUBTOTAL(103,Mei[14])</f>
        <v>0</v>
      </c>
      <c r="Q12" s="8">
        <f>SUBTOTAL(103,Mei[15])</f>
        <v>0</v>
      </c>
      <c r="R12" s="8">
        <f>SUBTOTAL(103,Mei[16])</f>
        <v>0</v>
      </c>
      <c r="S12" s="8">
        <f>SUBTOTAL(103,Mei[17])</f>
        <v>0</v>
      </c>
      <c r="T12" s="8">
        <f>SUBTOTAL(103,Mei[18])</f>
        <v>0</v>
      </c>
      <c r="U12" s="8">
        <f>SUBTOTAL(103,Mei[19])</f>
        <v>0</v>
      </c>
      <c r="V12" s="8">
        <f>SUBTOTAL(103,Mei[20])</f>
        <v>0</v>
      </c>
      <c r="W12" s="8">
        <f>SUBTOTAL(103,Mei[21])</f>
        <v>0</v>
      </c>
      <c r="X12" s="8">
        <f>SUBTOTAL(103,Mei[22])</f>
        <v>0</v>
      </c>
      <c r="Y12" s="8">
        <f>SUBTOTAL(103,Mei[23])</f>
        <v>0</v>
      </c>
      <c r="Z12" s="8">
        <f>SUBTOTAL(103,Mei[24])</f>
        <v>0</v>
      </c>
      <c r="AA12" s="8">
        <f>SUBTOTAL(103,Mei[25])</f>
        <v>0</v>
      </c>
      <c r="AB12" s="8">
        <f>SUBTOTAL(103,Mei[26])</f>
        <v>0</v>
      </c>
      <c r="AC12" s="8">
        <f>SUBTOTAL(103,Mei[27])</f>
        <v>0</v>
      </c>
      <c r="AD12" s="8">
        <f>SUBTOTAL(103,Mei[28])</f>
        <v>0</v>
      </c>
      <c r="AE12" s="8">
        <f>SUBTOTAL(103,Mei[29])</f>
        <v>0</v>
      </c>
      <c r="AF12" s="8">
        <f>SUBTOTAL(109,Mei[30])</f>
        <v>0</v>
      </c>
      <c r="AG12" s="8">
        <f>SUBTOTAL(109,Mei[31])</f>
        <v>0</v>
      </c>
      <c r="AH12" s="8">
        <f>SUBTOTAL(109,Mei[Totaal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88" priority="14" stopIfTrue="1">
      <formula>C7=KeyCustom2</formula>
    </cfRule>
    <cfRule type="expression" dxfId="687" priority="15" stopIfTrue="1">
      <formula>C7=KeyCustom1</formula>
    </cfRule>
    <cfRule type="expression" dxfId="686" priority="16" stopIfTrue="1">
      <formula>C7=KeySick</formula>
    </cfRule>
    <cfRule type="expression" dxfId="685" priority="17" stopIfTrue="1">
      <formula>C7=KeyPersonal</formula>
    </cfRule>
    <cfRule type="expression" dxfId="684"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conditionalFormatting sqref="C2">
    <cfRule type="containsText" dxfId="683" priority="2" operator="containsText" text="V">
      <formula>NOT(ISERROR(SEARCH("V",C2)))</formula>
    </cfRule>
    <cfRule type="containsText" dxfId="682" priority="3" operator="containsText" text="V">
      <formula>NOT(ISERROR(SEARCH("V",C2)))</formula>
    </cfRule>
    <cfRule type="containsText" dxfId="681" priority="9" operator="containsText" text="V">
      <formula>NOT(ISERROR(SEARCH("V",C2)))</formula>
    </cfRule>
    <cfRule type="containsText" dxfId="680" priority="10" operator="containsText" text="V">
      <formula>NOT(ISERROR(SEARCH("V",C2)))</formula>
    </cfRule>
    <cfRule type="containsText" dxfId="679" priority="11" operator="containsText" text="V">
      <formula>NOT(ISERROR(SEARCH("V",C2)))</formula>
    </cfRule>
    <cfRule type="containsText" dxfId="678" priority="12" operator="containsText" text="V">
      <formula>NOT(ISERROR(SEARCH("V",C2)))</formula>
    </cfRule>
  </conditionalFormatting>
  <conditionalFormatting sqref="F2">
    <cfRule type="containsText" dxfId="677" priority="5" operator="containsText" text="e">
      <formula>NOT(ISERROR(SEARCH("e",F2)))</formula>
    </cfRule>
    <cfRule type="cellIs" dxfId="676" priority="6" operator="equal">
      <formula>42767</formula>
    </cfRule>
    <cfRule type="containsText" dxfId="675" priority="7" operator="containsText" text="1/2">
      <formula>NOT(ISERROR(SEARCH("1/2",F2)))</formula>
    </cfRule>
    <cfRule type="containsText" dxfId="674" priority="8" operator="containsText" text="R">
      <formula>NOT(ISERROR(SEARCH("R",F2)))</formula>
    </cfRule>
  </conditionalFormatting>
  <conditionalFormatting sqref="K2">
    <cfRule type="containsText" dxfId="673" priority="1" operator="containsText" text="Z">
      <formula>NOT(ISERROR(SEARCH("Z",K2)))</formula>
    </cfRule>
    <cfRule type="containsText" dxfId="672"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e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45</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TEXT(WEEKDAY(DATE(CalendarYear,6,1),1),"aaa")</f>
        <v>ma</v>
      </c>
      <c r="D5" s="1" t="str">
        <f>TEXT(WEEKDAY(DATE(CalendarYear,6,2),1),"aaa")</f>
        <v>di</v>
      </c>
      <c r="E5" s="1" t="str">
        <f>TEXT(WEEKDAY(DATE(CalendarYear,6,3),1),"aaa")</f>
        <v>wo</v>
      </c>
      <c r="F5" s="1" t="str">
        <f>TEXT(WEEKDAY(DATE(CalendarYear,6,4),1),"aaa")</f>
        <v>do</v>
      </c>
      <c r="G5" s="1" t="str">
        <f>TEXT(WEEKDAY(DATE(CalendarYear,6,5),1),"aaa")</f>
        <v>vr</v>
      </c>
      <c r="H5" s="1" t="str">
        <f>TEXT(WEEKDAY(DATE(CalendarYear,6,6),1),"aaa")</f>
        <v>za</v>
      </c>
      <c r="I5" s="1" t="str">
        <f>TEXT(WEEKDAY(DATE(CalendarYear,6,7),1),"aaa")</f>
        <v>zo</v>
      </c>
      <c r="J5" s="1" t="str">
        <f>TEXT(WEEKDAY(DATE(CalendarYear,6,8),1),"aaa")</f>
        <v>ma</v>
      </c>
      <c r="K5" s="1" t="str">
        <f>TEXT(WEEKDAY(DATE(CalendarYear,6,9),1),"aaa")</f>
        <v>di</v>
      </c>
      <c r="L5" s="1" t="str">
        <f>TEXT(WEEKDAY(DATE(CalendarYear,6,10),1),"aaa")</f>
        <v>wo</v>
      </c>
      <c r="M5" s="1" t="str">
        <f>TEXT(WEEKDAY(DATE(CalendarYear,6,11),1),"aaa")</f>
        <v>do</v>
      </c>
      <c r="N5" s="1" t="str">
        <f>TEXT(WEEKDAY(DATE(CalendarYear,6,12),1),"aaa")</f>
        <v>vr</v>
      </c>
      <c r="O5" s="1" t="str">
        <f>TEXT(WEEKDAY(DATE(CalendarYear,6,13),1),"aaa")</f>
        <v>za</v>
      </c>
      <c r="P5" s="1" t="str">
        <f>TEXT(WEEKDAY(DATE(CalendarYear,6,14),1),"aaa")</f>
        <v>zo</v>
      </c>
      <c r="Q5" s="1" t="str">
        <f>TEXT(WEEKDAY(DATE(CalendarYear,6,15),1),"aaa")</f>
        <v>ma</v>
      </c>
      <c r="R5" s="1" t="str">
        <f>TEXT(WEEKDAY(DATE(CalendarYear,6,16),1),"aaa")</f>
        <v>di</v>
      </c>
      <c r="S5" s="1" t="str">
        <f>TEXT(WEEKDAY(DATE(CalendarYear,6,17),1),"aaa")</f>
        <v>wo</v>
      </c>
      <c r="T5" s="1" t="str">
        <f>TEXT(WEEKDAY(DATE(CalendarYear,6,18),1),"aaa")</f>
        <v>do</v>
      </c>
      <c r="U5" s="1" t="str">
        <f>TEXT(WEEKDAY(DATE(CalendarYear,6,19),1),"aaa")</f>
        <v>vr</v>
      </c>
      <c r="V5" s="1" t="str">
        <f>TEXT(WEEKDAY(DATE(CalendarYear,6,20),1),"aaa")</f>
        <v>za</v>
      </c>
      <c r="W5" s="1" t="str">
        <f>TEXT(WEEKDAY(DATE(CalendarYear,6,21),1),"aaa")</f>
        <v>zo</v>
      </c>
      <c r="X5" s="1" t="str">
        <f>TEXT(WEEKDAY(DATE(CalendarYear,6,22),1),"aaa")</f>
        <v>ma</v>
      </c>
      <c r="Y5" s="1" t="str">
        <f>TEXT(WEEKDAY(DATE(CalendarYear,6,23),1),"aaa")</f>
        <v>di</v>
      </c>
      <c r="Z5" s="1" t="str">
        <f>TEXT(WEEKDAY(DATE(CalendarYear,6,24),1),"aaa")</f>
        <v>wo</v>
      </c>
      <c r="AA5" s="1" t="str">
        <f>TEXT(WEEKDAY(DATE(CalendarYear,6,25),1),"aaa")</f>
        <v>do</v>
      </c>
      <c r="AB5" s="1" t="str">
        <f>TEXT(WEEKDAY(DATE(CalendarYear,6,26),1),"aaa")</f>
        <v>vr</v>
      </c>
      <c r="AC5" s="1" t="str">
        <f>TEXT(WEEKDAY(DATE(CalendarYear,6,27),1),"aaa")</f>
        <v>za</v>
      </c>
      <c r="AD5" s="1" t="str">
        <f>TEXT(WEEKDAY(DATE(CalendarYear,6,28),1),"aaa")</f>
        <v>zo</v>
      </c>
      <c r="AE5" s="1" t="str">
        <f>TEXT(WEEKDAY(DATE(CalendarYear,6,29),1),"aaa")</f>
        <v>ma</v>
      </c>
      <c r="AF5" s="1" t="str">
        <f>TEXT(WEEKDAY(DATE(CalendarYear,6,30),1),"aaa")</f>
        <v>di</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COUNTA(Juni[[#This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COUNTA(Juni[[#This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COUNTA(Juni[[#This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COUNTA(Juni[[#This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COUNTA(Juni[[#This Row],[1]:[31]])</f>
        <v>0</v>
      </c>
    </row>
    <row r="12" spans="2:34" ht="30" customHeight="1" x14ac:dyDescent="0.25">
      <c r="B12" s="14" t="str">
        <f>MonthName&amp;" totaal"</f>
        <v>Juni totaal</v>
      </c>
      <c r="C12" s="8">
        <f>SUBTOTAL(103,Juni[1])</f>
        <v>0</v>
      </c>
      <c r="D12" s="8">
        <f>SUBTOTAL(103,Juni[2])</f>
        <v>0</v>
      </c>
      <c r="E12" s="8">
        <f>SUBTOTAL(103,Juni[3])</f>
        <v>0</v>
      </c>
      <c r="F12" s="8">
        <f>SUBTOTAL(103,Juni[4])</f>
        <v>0</v>
      </c>
      <c r="G12" s="8">
        <f>SUBTOTAL(103,Juni[5])</f>
        <v>0</v>
      </c>
      <c r="H12" s="8">
        <f>SUBTOTAL(103,Juni[6])</f>
        <v>0</v>
      </c>
      <c r="I12" s="8">
        <f>SUBTOTAL(103,Juni[7])</f>
        <v>0</v>
      </c>
      <c r="J12" s="8">
        <f>SUBTOTAL(103,Juni[8])</f>
        <v>0</v>
      </c>
      <c r="K12" s="8">
        <f>SUBTOTAL(103,Juni[9])</f>
        <v>0</v>
      </c>
      <c r="L12" s="8">
        <f>SUBTOTAL(103,Juni[10])</f>
        <v>0</v>
      </c>
      <c r="M12" s="8">
        <f>SUBTOTAL(103,Juni[11])</f>
        <v>0</v>
      </c>
      <c r="N12" s="8">
        <f>SUBTOTAL(103,Juni[12])</f>
        <v>0</v>
      </c>
      <c r="O12" s="8">
        <f>SUBTOTAL(103,Juni[13])</f>
        <v>0</v>
      </c>
      <c r="P12" s="8">
        <f>SUBTOTAL(103,Juni[14])</f>
        <v>0</v>
      </c>
      <c r="Q12" s="8">
        <f>SUBTOTAL(103,Juni[15])</f>
        <v>0</v>
      </c>
      <c r="R12" s="8">
        <f>SUBTOTAL(103,Juni[16])</f>
        <v>0</v>
      </c>
      <c r="S12" s="8">
        <f>SUBTOTAL(103,Juni[17])</f>
        <v>0</v>
      </c>
      <c r="T12" s="8">
        <f>SUBTOTAL(103,Juni[18])</f>
        <v>0</v>
      </c>
      <c r="U12" s="8">
        <f>SUBTOTAL(103,Juni[19])</f>
        <v>0</v>
      </c>
      <c r="V12" s="8">
        <f>SUBTOTAL(103,Juni[20])</f>
        <v>0</v>
      </c>
      <c r="W12" s="8">
        <f>SUBTOTAL(103,Juni[21])</f>
        <v>0</v>
      </c>
      <c r="X12" s="8">
        <f>SUBTOTAL(103,Juni[22])</f>
        <v>0</v>
      </c>
      <c r="Y12" s="8">
        <f>SUBTOTAL(103,Juni[23])</f>
        <v>0</v>
      </c>
      <c r="Z12" s="8">
        <f>SUBTOTAL(103,Juni[24])</f>
        <v>0</v>
      </c>
      <c r="AA12" s="8">
        <f>SUBTOTAL(103,Juni[25])</f>
        <v>0</v>
      </c>
      <c r="AB12" s="8">
        <f>SUBTOTAL(103,Juni[26])</f>
        <v>0</v>
      </c>
      <c r="AC12" s="8">
        <f>SUBTOTAL(103,Juni[27])</f>
        <v>0</v>
      </c>
      <c r="AD12" s="8">
        <f>SUBTOTAL(103,Juni[28])</f>
        <v>0</v>
      </c>
      <c r="AE12" s="8">
        <f>SUBTOTAL(103,Juni[29])</f>
        <v>0</v>
      </c>
      <c r="AF12" s="8">
        <f>SUBTOTAL(109,Juni[30])</f>
        <v>0</v>
      </c>
      <c r="AG12" s="8">
        <f>SUBTOTAL(109,Juni[31])</f>
        <v>0</v>
      </c>
      <c r="AH12" s="8">
        <f>SUBTOTAL(109,Juni[Totaal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02" priority="14" stopIfTrue="1">
      <formula>C7=KeyCustom2</formula>
    </cfRule>
    <cfRule type="expression" dxfId="601" priority="15" stopIfTrue="1">
      <formula>C7=KeyCustom1</formula>
    </cfRule>
    <cfRule type="expression" dxfId="600" priority="16" stopIfTrue="1">
      <formula>C7=KeySick</formula>
    </cfRule>
    <cfRule type="expression" dxfId="599" priority="17" stopIfTrue="1">
      <formula>C7=KeyPersonal</formula>
    </cfRule>
    <cfRule type="expression" dxfId="598"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conditionalFormatting sqref="C2">
    <cfRule type="containsText" dxfId="597" priority="2" operator="containsText" text="V">
      <formula>NOT(ISERROR(SEARCH("V",C2)))</formula>
    </cfRule>
    <cfRule type="containsText" dxfId="596" priority="3" operator="containsText" text="V">
      <formula>NOT(ISERROR(SEARCH("V",C2)))</formula>
    </cfRule>
    <cfRule type="containsText" dxfId="595" priority="9" operator="containsText" text="V">
      <formula>NOT(ISERROR(SEARCH("V",C2)))</formula>
    </cfRule>
    <cfRule type="containsText" dxfId="594" priority="10" operator="containsText" text="V">
      <formula>NOT(ISERROR(SEARCH("V",C2)))</formula>
    </cfRule>
    <cfRule type="containsText" dxfId="593" priority="11" operator="containsText" text="V">
      <formula>NOT(ISERROR(SEARCH("V",C2)))</formula>
    </cfRule>
    <cfRule type="containsText" dxfId="592" priority="12" operator="containsText" text="V">
      <formula>NOT(ISERROR(SEARCH("V",C2)))</formula>
    </cfRule>
  </conditionalFormatting>
  <conditionalFormatting sqref="F2">
    <cfRule type="containsText" dxfId="591" priority="5" operator="containsText" text="e">
      <formula>NOT(ISERROR(SEARCH("e",F2)))</formula>
    </cfRule>
    <cfRule type="cellIs" dxfId="590" priority="6" operator="equal">
      <formula>42767</formula>
    </cfRule>
    <cfRule type="containsText" dxfId="589" priority="7" operator="containsText" text="1/2">
      <formula>NOT(ISERROR(SEARCH("1/2",F2)))</formula>
    </cfRule>
    <cfRule type="containsText" dxfId="588" priority="8" operator="containsText" text="R">
      <formula>NOT(ISERROR(SEARCH("R",F2)))</formula>
    </cfRule>
  </conditionalFormatting>
  <conditionalFormatting sqref="K2">
    <cfRule type="containsText" dxfId="587" priority="1" operator="containsText" text="Z">
      <formula>NOT(ISERROR(SEARCH("Z",K2)))</formula>
    </cfRule>
    <cfRule type="containsText" dxfId="586"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juni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46</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TEXT(WEEKDAY(DATE(CalendarYear,7,1),1),"aaa")</f>
        <v>wo</v>
      </c>
      <c r="D5" s="1" t="str">
        <f>TEXT(WEEKDAY(DATE(CalendarYear,7,2),1),"aaa")</f>
        <v>do</v>
      </c>
      <c r="E5" s="1" t="str">
        <f>TEXT(WEEKDAY(DATE(CalendarYear,7,3),1),"aaa")</f>
        <v>vr</v>
      </c>
      <c r="F5" s="1" t="str">
        <f>TEXT(WEEKDAY(DATE(CalendarYear,7,4),1),"aaa")</f>
        <v>za</v>
      </c>
      <c r="G5" s="1" t="str">
        <f>TEXT(WEEKDAY(DATE(CalendarYear,7,5),1),"aaa")</f>
        <v>zo</v>
      </c>
      <c r="H5" s="1" t="str">
        <f>TEXT(WEEKDAY(DATE(CalendarYear,7,6),1),"aaa")</f>
        <v>ma</v>
      </c>
      <c r="I5" s="1" t="str">
        <f>TEXT(WEEKDAY(DATE(CalendarYear,7,7),1),"aaa")</f>
        <v>di</v>
      </c>
      <c r="J5" s="1" t="str">
        <f>TEXT(WEEKDAY(DATE(CalendarYear,7,8),1),"aaa")</f>
        <v>wo</v>
      </c>
      <c r="K5" s="1" t="str">
        <f>TEXT(WEEKDAY(DATE(CalendarYear,7,9),1),"aaa")</f>
        <v>do</v>
      </c>
      <c r="L5" s="1" t="str">
        <f>TEXT(WEEKDAY(DATE(CalendarYear,7,10),1),"aaa")</f>
        <v>vr</v>
      </c>
      <c r="M5" s="1" t="str">
        <f>TEXT(WEEKDAY(DATE(CalendarYear,7,11),1),"aaa")</f>
        <v>za</v>
      </c>
      <c r="N5" s="1" t="str">
        <f>TEXT(WEEKDAY(DATE(CalendarYear,7,12),1),"aaa")</f>
        <v>zo</v>
      </c>
      <c r="O5" s="1" t="str">
        <f>TEXT(WEEKDAY(DATE(CalendarYear,7,13),1),"aaa")</f>
        <v>ma</v>
      </c>
      <c r="P5" s="1" t="str">
        <f>TEXT(WEEKDAY(DATE(CalendarYear,7,14),1),"aaa")</f>
        <v>di</v>
      </c>
      <c r="Q5" s="1" t="str">
        <f>TEXT(WEEKDAY(DATE(CalendarYear,7,15),1),"aaa")</f>
        <v>wo</v>
      </c>
      <c r="R5" s="1" t="str">
        <f>TEXT(WEEKDAY(DATE(CalendarYear,7,16),1),"aaa")</f>
        <v>do</v>
      </c>
      <c r="S5" s="1" t="str">
        <f>TEXT(WEEKDAY(DATE(CalendarYear,7,17),1),"aaa")</f>
        <v>vr</v>
      </c>
      <c r="T5" s="1" t="str">
        <f>TEXT(WEEKDAY(DATE(CalendarYear,7,18),1),"aaa")</f>
        <v>za</v>
      </c>
      <c r="U5" s="1" t="str">
        <f>TEXT(WEEKDAY(DATE(CalendarYear,7,19),1),"aaa")</f>
        <v>zo</v>
      </c>
      <c r="V5" s="1" t="str">
        <f>TEXT(WEEKDAY(DATE(CalendarYear,7,20),1),"aaa")</f>
        <v>ma</v>
      </c>
      <c r="W5" s="1" t="str">
        <f>TEXT(WEEKDAY(DATE(CalendarYear,7,21),1),"aaa")</f>
        <v>di</v>
      </c>
      <c r="X5" s="1" t="str">
        <f>TEXT(WEEKDAY(DATE(CalendarYear,7,22),1),"aaa")</f>
        <v>wo</v>
      </c>
      <c r="Y5" s="1" t="str">
        <f>TEXT(WEEKDAY(DATE(CalendarYear,7,23),1),"aaa")</f>
        <v>do</v>
      </c>
      <c r="Z5" s="1" t="str">
        <f>TEXT(WEEKDAY(DATE(CalendarYear,7,24),1),"aaa")</f>
        <v>vr</v>
      </c>
      <c r="AA5" s="1" t="str">
        <f>TEXT(WEEKDAY(DATE(CalendarYear,7,25),1),"aaa")</f>
        <v>za</v>
      </c>
      <c r="AB5" s="1" t="str">
        <f>TEXT(WEEKDAY(DATE(CalendarYear,7,26),1),"aaa")</f>
        <v>zo</v>
      </c>
      <c r="AC5" s="1" t="str">
        <f>TEXT(WEEKDAY(DATE(CalendarYear,7,27),1),"aaa")</f>
        <v>ma</v>
      </c>
      <c r="AD5" s="1" t="str">
        <f>TEXT(WEEKDAY(DATE(CalendarYear,7,28),1),"aaa")</f>
        <v>di</v>
      </c>
      <c r="AE5" s="1" t="str">
        <f>TEXT(WEEKDAY(DATE(CalendarYear,7,29),1),"aaa")</f>
        <v>wo</v>
      </c>
      <c r="AF5" s="1" t="str">
        <f>TEXT(WEEKDAY(DATE(CalendarYear,7,30),1),"aaa")</f>
        <v>do</v>
      </c>
      <c r="AG5" s="1" t="str">
        <f>TEXT(WEEKDAY(DATE(CalendarYear,7,31),1),"aaa")</f>
        <v>vr</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COUNTA(Juli[[#This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COUNTA(Juli[[#This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COUNTA(Juli[[#This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COUNTA(Juli[[#This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COUNTA(Juli[[#This Row],[1]:[31]])</f>
        <v>0</v>
      </c>
    </row>
    <row r="12" spans="2:34" ht="30" customHeight="1" x14ac:dyDescent="0.25">
      <c r="B12" s="14" t="str">
        <f>MonthName&amp;" totaal"</f>
        <v>Juli totaal</v>
      </c>
      <c r="C12" s="8">
        <f>SUBTOTAL(103,Juli[1])</f>
        <v>0</v>
      </c>
      <c r="D12" s="8">
        <f>SUBTOTAL(103,Juli[2])</f>
        <v>0</v>
      </c>
      <c r="E12" s="8">
        <f>SUBTOTAL(103,Juli[3])</f>
        <v>0</v>
      </c>
      <c r="F12" s="8">
        <f>SUBTOTAL(103,Juli[4])</f>
        <v>0</v>
      </c>
      <c r="G12" s="8">
        <f>SUBTOTAL(103,Juli[5])</f>
        <v>0</v>
      </c>
      <c r="H12" s="8">
        <f>SUBTOTAL(103,Juli[6])</f>
        <v>0</v>
      </c>
      <c r="I12" s="8">
        <f>SUBTOTAL(103,Juli[7])</f>
        <v>0</v>
      </c>
      <c r="J12" s="8">
        <f>SUBTOTAL(103,Juli[8])</f>
        <v>0</v>
      </c>
      <c r="K12" s="8">
        <f>SUBTOTAL(103,Juli[9])</f>
        <v>0</v>
      </c>
      <c r="L12" s="8">
        <f>SUBTOTAL(103,Juli[10])</f>
        <v>0</v>
      </c>
      <c r="M12" s="8">
        <f>SUBTOTAL(103,Juli[11])</f>
        <v>0</v>
      </c>
      <c r="N12" s="8">
        <f>SUBTOTAL(103,Juli[12])</f>
        <v>0</v>
      </c>
      <c r="O12" s="8">
        <f>SUBTOTAL(103,Juli[13])</f>
        <v>0</v>
      </c>
      <c r="P12" s="8">
        <f>SUBTOTAL(103,Juli[14])</f>
        <v>0</v>
      </c>
      <c r="Q12" s="8">
        <f>SUBTOTAL(103,Juli[15])</f>
        <v>0</v>
      </c>
      <c r="R12" s="8">
        <f>SUBTOTAL(103,Juli[16])</f>
        <v>0</v>
      </c>
      <c r="S12" s="8">
        <f>SUBTOTAL(103,Juli[17])</f>
        <v>0</v>
      </c>
      <c r="T12" s="8">
        <f>SUBTOTAL(103,Juli[18])</f>
        <v>0</v>
      </c>
      <c r="U12" s="8">
        <f>SUBTOTAL(103,Juli[19])</f>
        <v>0</v>
      </c>
      <c r="V12" s="8">
        <f>SUBTOTAL(103,Juli[20])</f>
        <v>0</v>
      </c>
      <c r="W12" s="8">
        <f>SUBTOTAL(103,Juli[21])</f>
        <v>0</v>
      </c>
      <c r="X12" s="8">
        <f>SUBTOTAL(103,Juli[22])</f>
        <v>0</v>
      </c>
      <c r="Y12" s="8">
        <f>SUBTOTAL(103,Juli[23])</f>
        <v>0</v>
      </c>
      <c r="Z12" s="8">
        <f>SUBTOTAL(103,Juli[24])</f>
        <v>0</v>
      </c>
      <c r="AA12" s="8">
        <f>SUBTOTAL(103,Juli[25])</f>
        <v>0</v>
      </c>
      <c r="AB12" s="8">
        <f>SUBTOTAL(103,Juli[26])</f>
        <v>0</v>
      </c>
      <c r="AC12" s="8">
        <f>SUBTOTAL(103,Juli[27])</f>
        <v>0</v>
      </c>
      <c r="AD12" s="8">
        <f>SUBTOTAL(103,Juli[28])</f>
        <v>0</v>
      </c>
      <c r="AE12" s="8">
        <f>SUBTOTAL(103,Juli[29])</f>
        <v>0</v>
      </c>
      <c r="AF12" s="8">
        <f>SUBTOTAL(109,Juli[30])</f>
        <v>0</v>
      </c>
      <c r="AG12" s="8">
        <f>SUBTOTAL(109,Juli[31])</f>
        <v>0</v>
      </c>
      <c r="AH12" s="8">
        <f>SUBTOTAL(109,Juli[Totaal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516" priority="14" stopIfTrue="1">
      <formula>C7=KeyCustom2</formula>
    </cfRule>
    <cfRule type="expression" dxfId="515" priority="15" stopIfTrue="1">
      <formula>C7=KeyCustom1</formula>
    </cfRule>
    <cfRule type="expression" dxfId="514" priority="16" stopIfTrue="1">
      <formula>C7=KeySick</formula>
    </cfRule>
    <cfRule type="expression" dxfId="513" priority="17" stopIfTrue="1">
      <formula>C7=KeyPersonal</formula>
    </cfRule>
    <cfRule type="expression" dxfId="512"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conditionalFormatting sqref="C2">
    <cfRule type="containsText" dxfId="511" priority="2" operator="containsText" text="V">
      <formula>NOT(ISERROR(SEARCH("V",C2)))</formula>
    </cfRule>
    <cfRule type="containsText" dxfId="510" priority="3" operator="containsText" text="V">
      <formula>NOT(ISERROR(SEARCH("V",C2)))</formula>
    </cfRule>
    <cfRule type="containsText" dxfId="509" priority="9" operator="containsText" text="V">
      <formula>NOT(ISERROR(SEARCH("V",C2)))</formula>
    </cfRule>
    <cfRule type="containsText" dxfId="508" priority="10" operator="containsText" text="V">
      <formula>NOT(ISERROR(SEARCH("V",C2)))</formula>
    </cfRule>
    <cfRule type="containsText" dxfId="507" priority="11" operator="containsText" text="V">
      <formula>NOT(ISERROR(SEARCH("V",C2)))</formula>
    </cfRule>
    <cfRule type="containsText" dxfId="506" priority="12" operator="containsText" text="V">
      <formula>NOT(ISERROR(SEARCH("V",C2)))</formula>
    </cfRule>
  </conditionalFormatting>
  <conditionalFormatting sqref="F2">
    <cfRule type="containsText" dxfId="505" priority="5" operator="containsText" text="e">
      <formula>NOT(ISERROR(SEARCH("e",F2)))</formula>
    </cfRule>
    <cfRule type="cellIs" dxfId="504" priority="6" operator="equal">
      <formula>42767</formula>
    </cfRule>
    <cfRule type="containsText" dxfId="503" priority="7" operator="containsText" text="1/2">
      <formula>NOT(ISERROR(SEARCH("1/2",F2)))</formula>
    </cfRule>
    <cfRule type="containsText" dxfId="502" priority="8" operator="containsText" text="R">
      <formula>NOT(ISERROR(SEARCH("R",F2)))</formula>
    </cfRule>
  </conditionalFormatting>
  <conditionalFormatting sqref="K2">
    <cfRule type="containsText" dxfId="501" priority="1" operator="containsText" text="Z">
      <formula>NOT(ISERROR(SEARCH("Z",K2)))</formula>
    </cfRule>
    <cfRule type="containsText" dxfId="500"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jul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47</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TEXT(WEEKDAY(DATE(CalendarYear,8,1),1),"aaa")</f>
        <v>za</v>
      </c>
      <c r="D5" s="1" t="str">
        <f>TEXT(WEEKDAY(DATE(CalendarYear,8,2),1),"aaa")</f>
        <v>zo</v>
      </c>
      <c r="E5" s="1" t="str">
        <f>TEXT(WEEKDAY(DATE(CalendarYear,8,3),1),"aaa")</f>
        <v>ma</v>
      </c>
      <c r="F5" s="1" t="str">
        <f>TEXT(WEEKDAY(DATE(CalendarYear,8,4),1),"aaa")</f>
        <v>di</v>
      </c>
      <c r="G5" s="1" t="str">
        <f>TEXT(WEEKDAY(DATE(CalendarYear,8,5),1),"aaa")</f>
        <v>wo</v>
      </c>
      <c r="H5" s="1" t="str">
        <f>TEXT(WEEKDAY(DATE(CalendarYear,8,6),1),"aaa")</f>
        <v>do</v>
      </c>
      <c r="I5" s="1" t="str">
        <f>TEXT(WEEKDAY(DATE(CalendarYear,8,7),1),"aaa")</f>
        <v>vr</v>
      </c>
      <c r="J5" s="1" t="str">
        <f>TEXT(WEEKDAY(DATE(CalendarYear,8,8),1),"aaa")</f>
        <v>za</v>
      </c>
      <c r="K5" s="1" t="str">
        <f>TEXT(WEEKDAY(DATE(CalendarYear,8,9),1),"aaa")</f>
        <v>zo</v>
      </c>
      <c r="L5" s="1" t="str">
        <f>TEXT(WEEKDAY(DATE(CalendarYear,8,10),1),"aaa")</f>
        <v>ma</v>
      </c>
      <c r="M5" s="1" t="str">
        <f>TEXT(WEEKDAY(DATE(CalendarYear,8,11),1),"aaa")</f>
        <v>di</v>
      </c>
      <c r="N5" s="1" t="str">
        <f>TEXT(WEEKDAY(DATE(CalendarYear,8,12),1),"aaa")</f>
        <v>wo</v>
      </c>
      <c r="O5" s="1" t="str">
        <f>TEXT(WEEKDAY(DATE(CalendarYear,8,13),1),"aaa")</f>
        <v>do</v>
      </c>
      <c r="P5" s="1" t="str">
        <f>TEXT(WEEKDAY(DATE(CalendarYear,8,14),1),"aaa")</f>
        <v>vr</v>
      </c>
      <c r="Q5" s="1" t="str">
        <f>TEXT(WEEKDAY(DATE(CalendarYear,8,15),1),"aaa")</f>
        <v>za</v>
      </c>
      <c r="R5" s="1" t="str">
        <f>TEXT(WEEKDAY(DATE(CalendarYear,8,16),1),"aaa")</f>
        <v>zo</v>
      </c>
      <c r="S5" s="1" t="str">
        <f>TEXT(WEEKDAY(DATE(CalendarYear,8,17),1),"aaa")</f>
        <v>ma</v>
      </c>
      <c r="T5" s="1" t="str">
        <f>TEXT(WEEKDAY(DATE(CalendarYear,8,18),1),"aaa")</f>
        <v>di</v>
      </c>
      <c r="U5" s="1" t="str">
        <f>TEXT(WEEKDAY(DATE(CalendarYear,8,19),1),"aaa")</f>
        <v>wo</v>
      </c>
      <c r="V5" s="1" t="str">
        <f>TEXT(WEEKDAY(DATE(CalendarYear,8,20),1),"aaa")</f>
        <v>do</v>
      </c>
      <c r="W5" s="1" t="str">
        <f>TEXT(WEEKDAY(DATE(CalendarYear,8,21),1),"aaa")</f>
        <v>vr</v>
      </c>
      <c r="X5" s="1" t="str">
        <f>TEXT(WEEKDAY(DATE(CalendarYear,8,22),1),"aaa")</f>
        <v>za</v>
      </c>
      <c r="Y5" s="1" t="str">
        <f>TEXT(WEEKDAY(DATE(CalendarYear,8,23),1),"aaa")</f>
        <v>zo</v>
      </c>
      <c r="Z5" s="1" t="str">
        <f>TEXT(WEEKDAY(DATE(CalendarYear,8,24),1),"aaa")</f>
        <v>ma</v>
      </c>
      <c r="AA5" s="1" t="str">
        <f>TEXT(WEEKDAY(DATE(CalendarYear,8,25),1),"aaa")</f>
        <v>di</v>
      </c>
      <c r="AB5" s="1" t="str">
        <f>TEXT(WEEKDAY(DATE(CalendarYear,8,26),1),"aaa")</f>
        <v>wo</v>
      </c>
      <c r="AC5" s="1" t="str">
        <f>TEXT(WEEKDAY(DATE(CalendarYear,8,27),1),"aaa")</f>
        <v>do</v>
      </c>
      <c r="AD5" s="1" t="str">
        <f>TEXT(WEEKDAY(DATE(CalendarYear,8,28),1),"aaa")</f>
        <v>vr</v>
      </c>
      <c r="AE5" s="1" t="str">
        <f>TEXT(WEEKDAY(DATE(CalendarYear,8,29),1),"aaa")</f>
        <v>za</v>
      </c>
      <c r="AF5" s="1" t="str">
        <f>TEXT(WEEKDAY(DATE(CalendarYear,8,30),1),"aaa")</f>
        <v>zo</v>
      </c>
      <c r="AG5" s="1" t="str">
        <f>TEXT(WEEKDAY(DATE(CalendarYear,8,31),1),"aaa")</f>
        <v>ma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COUNTA(Augustus[[#This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COUNTA(Augustus[[#This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COUNTA(Augustus[[#This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COUNTA(Augustus[[#This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COUNTA(Augustus[[#This Row],[1]:[31]])</f>
        <v>0</v>
      </c>
    </row>
    <row r="12" spans="2:34" ht="30" customHeight="1" x14ac:dyDescent="0.25">
      <c r="B12" s="14" t="str">
        <f>MonthName&amp;" totaal"</f>
        <v>Augustus totaal</v>
      </c>
      <c r="C12" s="8">
        <f>SUBTOTAL(103,Augustus[1])</f>
        <v>0</v>
      </c>
      <c r="D12" s="8">
        <f>SUBTOTAL(103,Augustus[2])</f>
        <v>0</v>
      </c>
      <c r="E12" s="8">
        <f>SUBTOTAL(103,Augustus[3])</f>
        <v>0</v>
      </c>
      <c r="F12" s="8">
        <f>SUBTOTAL(103,Augustus[4])</f>
        <v>0</v>
      </c>
      <c r="G12" s="8">
        <f>SUBTOTAL(103,Augustus[5])</f>
        <v>0</v>
      </c>
      <c r="H12" s="8">
        <f>SUBTOTAL(103,Augustus[6])</f>
        <v>0</v>
      </c>
      <c r="I12" s="8">
        <f>SUBTOTAL(103,Augustus[7])</f>
        <v>0</v>
      </c>
      <c r="J12" s="8">
        <f>SUBTOTAL(103,Augustus[8])</f>
        <v>0</v>
      </c>
      <c r="K12" s="8">
        <f>SUBTOTAL(103,Augustus[9])</f>
        <v>0</v>
      </c>
      <c r="L12" s="8">
        <f>SUBTOTAL(103,Augustus[10])</f>
        <v>0</v>
      </c>
      <c r="M12" s="8">
        <f>SUBTOTAL(103,Augustus[11])</f>
        <v>0</v>
      </c>
      <c r="N12" s="8">
        <f>SUBTOTAL(103,Augustus[12])</f>
        <v>0</v>
      </c>
      <c r="O12" s="8">
        <f>SUBTOTAL(103,Augustus[13])</f>
        <v>0</v>
      </c>
      <c r="P12" s="8">
        <f>SUBTOTAL(103,Augustus[14])</f>
        <v>0</v>
      </c>
      <c r="Q12" s="8">
        <f>SUBTOTAL(103,Augustus[15])</f>
        <v>0</v>
      </c>
      <c r="R12" s="8">
        <f>SUBTOTAL(103,Augustus[16])</f>
        <v>0</v>
      </c>
      <c r="S12" s="8">
        <f>SUBTOTAL(103,Augustus[17])</f>
        <v>0</v>
      </c>
      <c r="T12" s="8">
        <f>SUBTOTAL(103,Augustus[18])</f>
        <v>0</v>
      </c>
      <c r="U12" s="8">
        <f>SUBTOTAL(103,Augustus[19])</f>
        <v>0</v>
      </c>
      <c r="V12" s="8">
        <f>SUBTOTAL(103,Augustus[20])</f>
        <v>0</v>
      </c>
      <c r="W12" s="8">
        <f>SUBTOTAL(103,Augustus[21])</f>
        <v>0</v>
      </c>
      <c r="X12" s="8">
        <f>SUBTOTAL(103,Augustus[22])</f>
        <v>0</v>
      </c>
      <c r="Y12" s="8">
        <f>SUBTOTAL(103,Augustus[23])</f>
        <v>0</v>
      </c>
      <c r="Z12" s="8">
        <f>SUBTOTAL(103,Augustus[24])</f>
        <v>0</v>
      </c>
      <c r="AA12" s="8">
        <f>SUBTOTAL(103,Augustus[25])</f>
        <v>0</v>
      </c>
      <c r="AB12" s="8">
        <f>SUBTOTAL(103,Augustus[26])</f>
        <v>0</v>
      </c>
      <c r="AC12" s="8">
        <f>SUBTOTAL(103,Augustus[27])</f>
        <v>0</v>
      </c>
      <c r="AD12" s="8">
        <f>SUBTOTAL(103,Augustus[28])</f>
        <v>0</v>
      </c>
      <c r="AE12" s="8">
        <f>SUBTOTAL(103,Augustus[29])</f>
        <v>0</v>
      </c>
      <c r="AF12" s="8">
        <f>SUBTOTAL(109,Augustus[30])</f>
        <v>0</v>
      </c>
      <c r="AG12" s="8">
        <f>SUBTOTAL(109,Augustus[31])</f>
        <v>0</v>
      </c>
      <c r="AH12" s="8">
        <f>SUBTOTAL(109,Augustus[Totaal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430" priority="14" stopIfTrue="1">
      <formula>C7=KeyCustom2</formula>
    </cfRule>
    <cfRule type="expression" dxfId="429" priority="15" stopIfTrue="1">
      <formula>C7=KeyCustom1</formula>
    </cfRule>
    <cfRule type="expression" dxfId="428" priority="16" stopIfTrue="1">
      <formula>C7=KeySick</formula>
    </cfRule>
    <cfRule type="expression" dxfId="427" priority="17" stopIfTrue="1">
      <formula>C7=KeyPersonal</formula>
    </cfRule>
    <cfRule type="expression" dxfId="426"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conditionalFormatting sqref="C2">
    <cfRule type="containsText" dxfId="425" priority="2" operator="containsText" text="V">
      <formula>NOT(ISERROR(SEARCH("V",C2)))</formula>
    </cfRule>
    <cfRule type="containsText" dxfId="424" priority="3" operator="containsText" text="V">
      <formula>NOT(ISERROR(SEARCH("V",C2)))</formula>
    </cfRule>
    <cfRule type="containsText" dxfId="423" priority="9" operator="containsText" text="V">
      <formula>NOT(ISERROR(SEARCH("V",C2)))</formula>
    </cfRule>
    <cfRule type="containsText" dxfId="422" priority="10" operator="containsText" text="V">
      <formula>NOT(ISERROR(SEARCH("V",C2)))</formula>
    </cfRule>
    <cfRule type="containsText" dxfId="421" priority="11" operator="containsText" text="V">
      <formula>NOT(ISERROR(SEARCH("V",C2)))</formula>
    </cfRule>
    <cfRule type="containsText" dxfId="420" priority="12" operator="containsText" text="V">
      <formula>NOT(ISERROR(SEARCH("V",C2)))</formula>
    </cfRule>
  </conditionalFormatting>
  <conditionalFormatting sqref="F2">
    <cfRule type="containsText" dxfId="419" priority="5" operator="containsText" text="e">
      <formula>NOT(ISERROR(SEARCH("e",F2)))</formula>
    </cfRule>
    <cfRule type="cellIs" dxfId="418" priority="6" operator="equal">
      <formula>42767</formula>
    </cfRule>
    <cfRule type="containsText" dxfId="417" priority="7" operator="containsText" text="1/2">
      <formula>NOT(ISERROR(SEARCH("1/2",F2)))</formula>
    </cfRule>
    <cfRule type="containsText" dxfId="416" priority="8" operator="containsText" text="R">
      <formula>NOT(ISERROR(SEARCH("R",F2)))</formula>
    </cfRule>
  </conditionalFormatting>
  <conditionalFormatting sqref="K2">
    <cfRule type="containsText" dxfId="415" priority="1" operator="containsText" text="Z">
      <formula>NOT(ISERROR(SEARCH("Z",K2)))</formula>
    </cfRule>
    <cfRule type="containsText" dxfId="414"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ugustus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53</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TEXT(WEEKDAY(DATE(CalendarYear,9,1),1),"aaa")</f>
        <v>di</v>
      </c>
      <c r="D5" s="1" t="str">
        <f>TEXT(WEEKDAY(DATE(CalendarYear,9,2),1),"aaa")</f>
        <v>wo</v>
      </c>
      <c r="E5" s="1" t="str">
        <f>TEXT(WEEKDAY(DATE(CalendarYear,9,3),1),"aaa")</f>
        <v>do</v>
      </c>
      <c r="F5" s="1" t="str">
        <f>TEXT(WEEKDAY(DATE(CalendarYear,9,4),1),"aaa")</f>
        <v>vr</v>
      </c>
      <c r="G5" s="1" t="str">
        <f>TEXT(WEEKDAY(DATE(CalendarYear,9,5),1),"aaa")</f>
        <v>za</v>
      </c>
      <c r="H5" s="1" t="str">
        <f>TEXT(WEEKDAY(DATE(CalendarYear,9,6),1),"aaa")</f>
        <v>zo</v>
      </c>
      <c r="I5" s="1" t="str">
        <f>TEXT(WEEKDAY(DATE(CalendarYear,9,7),1),"aaa")</f>
        <v>ma</v>
      </c>
      <c r="J5" s="1" t="str">
        <f>TEXT(WEEKDAY(DATE(CalendarYear,9,8),1),"aaa")</f>
        <v>di</v>
      </c>
      <c r="K5" s="1" t="str">
        <f>TEXT(WEEKDAY(DATE(CalendarYear,9,9),1),"aaa")</f>
        <v>wo</v>
      </c>
      <c r="L5" s="1" t="str">
        <f>TEXT(WEEKDAY(DATE(CalendarYear,9,10),1),"aaa")</f>
        <v>do</v>
      </c>
      <c r="M5" s="1" t="str">
        <f>TEXT(WEEKDAY(DATE(CalendarYear,9,11),1),"aaa")</f>
        <v>vr</v>
      </c>
      <c r="N5" s="1" t="str">
        <f>TEXT(WEEKDAY(DATE(CalendarYear,9,12),1),"aaa")</f>
        <v>za</v>
      </c>
      <c r="O5" s="1" t="str">
        <f>TEXT(WEEKDAY(DATE(CalendarYear,9,13),1),"aaa")</f>
        <v>zo</v>
      </c>
      <c r="P5" s="1" t="str">
        <f>TEXT(WEEKDAY(DATE(CalendarYear,9,14),1),"aaa")</f>
        <v>ma</v>
      </c>
      <c r="Q5" s="1" t="str">
        <f>TEXT(WEEKDAY(DATE(CalendarYear,9,15),1),"aaa")</f>
        <v>di</v>
      </c>
      <c r="R5" s="1" t="str">
        <f>TEXT(WEEKDAY(DATE(CalendarYear,9,16),1),"aaa")</f>
        <v>wo</v>
      </c>
      <c r="S5" s="1" t="str">
        <f>TEXT(WEEKDAY(DATE(CalendarYear,9,17),1),"aaa")</f>
        <v>do</v>
      </c>
      <c r="T5" s="1" t="str">
        <f>TEXT(WEEKDAY(DATE(CalendarYear,9,18),1),"aaa")</f>
        <v>vr</v>
      </c>
      <c r="U5" s="1" t="str">
        <f>TEXT(WEEKDAY(DATE(CalendarYear,9,19),1),"aaa")</f>
        <v>za</v>
      </c>
      <c r="V5" s="1" t="str">
        <f>TEXT(WEEKDAY(DATE(CalendarYear,9,20),1),"aaa")</f>
        <v>zo</v>
      </c>
      <c r="W5" s="1" t="str">
        <f>TEXT(WEEKDAY(DATE(CalendarYear,9,21),1),"aaa")</f>
        <v>ma</v>
      </c>
      <c r="X5" s="1" t="str">
        <f>TEXT(WEEKDAY(DATE(CalendarYear,9,22),1),"aaa")</f>
        <v>di</v>
      </c>
      <c r="Y5" s="1" t="str">
        <f>TEXT(WEEKDAY(DATE(CalendarYear,9,23),1),"aaa")</f>
        <v>wo</v>
      </c>
      <c r="Z5" s="1" t="str">
        <f>TEXT(WEEKDAY(DATE(CalendarYear,9,24),1),"aaa")</f>
        <v>do</v>
      </c>
      <c r="AA5" s="1" t="str">
        <f>TEXT(WEEKDAY(DATE(CalendarYear,9,25),1),"aaa")</f>
        <v>vr</v>
      </c>
      <c r="AB5" s="1" t="str">
        <f>TEXT(WEEKDAY(DATE(CalendarYear,9,26),1),"aaa")</f>
        <v>za</v>
      </c>
      <c r="AC5" s="1" t="str">
        <f>TEXT(WEEKDAY(DATE(CalendarYear,9,27),1),"aaa")</f>
        <v>zo</v>
      </c>
      <c r="AD5" s="1" t="str">
        <f>TEXT(WEEKDAY(DATE(CalendarYear,9,28),1),"aaa")</f>
        <v>ma</v>
      </c>
      <c r="AE5" s="1" t="str">
        <f>TEXT(WEEKDAY(DATE(CalendarYear,9,29),1),"aaa")</f>
        <v>di</v>
      </c>
      <c r="AF5" s="1" t="str">
        <f>TEXT(WEEKDAY(DATE(CalendarYear,9,30),1),"aaa")</f>
        <v>wo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COUNTA(September[[#This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COUNTA(September[[#This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COUNTA(September[[#This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COUNTA(September[[#This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COUNTA(September[[#This Row],[1]:[31]])</f>
        <v>0</v>
      </c>
    </row>
    <row r="12" spans="2:34" ht="30" customHeight="1" x14ac:dyDescent="0.25">
      <c r="B12" s="14" t="str">
        <f>MonthName&amp;" totaal"</f>
        <v>September totaal</v>
      </c>
      <c r="C12" s="8">
        <f>SUBTOTAL(103,September[1])</f>
        <v>0</v>
      </c>
      <c r="D12" s="8">
        <f>SUBTOTAL(103,September[2])</f>
        <v>0</v>
      </c>
      <c r="E12" s="8">
        <f>SUBTOTAL(103,September[3])</f>
        <v>0</v>
      </c>
      <c r="F12" s="8">
        <f>SUBTOTAL(103,September[4])</f>
        <v>0</v>
      </c>
      <c r="G12" s="8">
        <f>SUBTOTAL(103,September[5])</f>
        <v>0</v>
      </c>
      <c r="H12" s="8">
        <f>SUBTOTAL(103,September[6])</f>
        <v>0</v>
      </c>
      <c r="I12" s="8">
        <f>SUBTOTAL(103,September[7])</f>
        <v>0</v>
      </c>
      <c r="J12" s="8">
        <f>SUBTOTAL(103,September[8])</f>
        <v>0</v>
      </c>
      <c r="K12" s="8">
        <f>SUBTOTAL(103,September[9])</f>
        <v>0</v>
      </c>
      <c r="L12" s="8">
        <f>SUBTOTAL(103,September[10])</f>
        <v>0</v>
      </c>
      <c r="M12" s="8">
        <f>SUBTOTAL(103,September[11])</f>
        <v>0</v>
      </c>
      <c r="N12" s="8">
        <f>SUBTOTAL(103,September[12])</f>
        <v>0</v>
      </c>
      <c r="O12" s="8">
        <f>SUBTOTAL(103,September[13])</f>
        <v>0</v>
      </c>
      <c r="P12" s="8">
        <f>SUBTOTAL(103,September[14])</f>
        <v>0</v>
      </c>
      <c r="Q12" s="8">
        <f>SUBTOTAL(103,September[15])</f>
        <v>0</v>
      </c>
      <c r="R12" s="8">
        <f>SUBTOTAL(103,September[16])</f>
        <v>0</v>
      </c>
      <c r="S12" s="8">
        <f>SUBTOTAL(103,September[17])</f>
        <v>0</v>
      </c>
      <c r="T12" s="8">
        <f>SUBTOTAL(103,September[18])</f>
        <v>0</v>
      </c>
      <c r="U12" s="8">
        <f>SUBTOTAL(103,September[19])</f>
        <v>0</v>
      </c>
      <c r="V12" s="8">
        <f>SUBTOTAL(103,September[20])</f>
        <v>0</v>
      </c>
      <c r="W12" s="8">
        <f>SUBTOTAL(103,September[21])</f>
        <v>0</v>
      </c>
      <c r="X12" s="8">
        <f>SUBTOTAL(103,September[22])</f>
        <v>0</v>
      </c>
      <c r="Y12" s="8">
        <f>SUBTOTAL(103,September[23])</f>
        <v>0</v>
      </c>
      <c r="Z12" s="8">
        <f>SUBTOTAL(103,September[24])</f>
        <v>0</v>
      </c>
      <c r="AA12" s="8">
        <f>SUBTOTAL(103,September[25])</f>
        <v>0</v>
      </c>
      <c r="AB12" s="8">
        <f>SUBTOTAL(103,September[26])</f>
        <v>0</v>
      </c>
      <c r="AC12" s="8">
        <f>SUBTOTAL(103,September[27])</f>
        <v>0</v>
      </c>
      <c r="AD12" s="8">
        <f>SUBTOTAL(103,September[28])</f>
        <v>0</v>
      </c>
      <c r="AE12" s="8">
        <f>SUBTOTAL(103,September[29])</f>
        <v>0</v>
      </c>
      <c r="AF12" s="8">
        <f>SUBTOTAL(109,September[30])</f>
        <v>0</v>
      </c>
      <c r="AG12" s="8">
        <f>SUBTOTAL(109,September[31])</f>
        <v>0</v>
      </c>
      <c r="AH12" s="8">
        <f>SUBTOTAL(109,September[Totaal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44" priority="14" stopIfTrue="1">
      <formula>C7=KeyCustom2</formula>
    </cfRule>
    <cfRule type="expression" dxfId="343" priority="15" stopIfTrue="1">
      <formula>C7=KeyCustom1</formula>
    </cfRule>
    <cfRule type="expression" dxfId="342" priority="16" stopIfTrue="1">
      <formula>C7=KeySick</formula>
    </cfRule>
    <cfRule type="expression" dxfId="341" priority="17" stopIfTrue="1">
      <formula>C7=KeyPersonal</formula>
    </cfRule>
    <cfRule type="expression" dxfId="340"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conditionalFormatting sqref="C2">
    <cfRule type="containsText" dxfId="339" priority="2" operator="containsText" text="V">
      <formula>NOT(ISERROR(SEARCH("V",C2)))</formula>
    </cfRule>
    <cfRule type="containsText" dxfId="338" priority="3" operator="containsText" text="V">
      <formula>NOT(ISERROR(SEARCH("V",C2)))</formula>
    </cfRule>
    <cfRule type="containsText" dxfId="337" priority="9" operator="containsText" text="V">
      <formula>NOT(ISERROR(SEARCH("V",C2)))</formula>
    </cfRule>
    <cfRule type="containsText" dxfId="336" priority="10" operator="containsText" text="V">
      <formula>NOT(ISERROR(SEARCH("V",C2)))</formula>
    </cfRule>
    <cfRule type="containsText" dxfId="335" priority="11" operator="containsText" text="V">
      <formula>NOT(ISERROR(SEARCH("V",C2)))</formula>
    </cfRule>
    <cfRule type="containsText" dxfId="334" priority="12" operator="containsText" text="V">
      <formula>NOT(ISERROR(SEARCH("V",C2)))</formula>
    </cfRule>
  </conditionalFormatting>
  <conditionalFormatting sqref="F2">
    <cfRule type="containsText" dxfId="333" priority="5" operator="containsText" text="e">
      <formula>NOT(ISERROR(SEARCH("e",F2)))</formula>
    </cfRule>
    <cfRule type="cellIs" dxfId="332" priority="6" operator="equal">
      <formula>42767</formula>
    </cfRule>
    <cfRule type="containsText" dxfId="331" priority="7" operator="containsText" text="1/2">
      <formula>NOT(ISERROR(SEARCH("1/2",F2)))</formula>
    </cfRule>
    <cfRule type="containsText" dxfId="330" priority="8" operator="containsText" text="R">
      <formula>NOT(ISERROR(SEARCH("R",F2)))</formula>
    </cfRule>
  </conditionalFormatting>
  <conditionalFormatting sqref="K2">
    <cfRule type="containsText" dxfId="329" priority="1" operator="containsText" text="Z">
      <formula>NOT(ISERROR(SEARCH("Z",K2)))</formula>
    </cfRule>
    <cfRule type="containsText" dxfId="328"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sept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47</vt:i4>
      </vt:variant>
    </vt:vector>
  </HeadingPairs>
  <TitlesOfParts>
    <vt:vector size="60"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KeyCustom2Label</vt:lpstr>
      <vt:lpstr>KeyPersonalLabel</vt:lpstr>
      <vt:lpstr>KeySick</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Serge Verschoren</dc:creator>
  <cp:lastModifiedBy>Geert Vandenhende</cp:lastModifiedBy>
  <dcterms:created xsi:type="dcterms:W3CDTF">2016-12-06T04:52:27Z</dcterms:created>
  <dcterms:modified xsi:type="dcterms:W3CDTF">2017-10-05T03:04:57Z</dcterms:modified>
</cp:coreProperties>
</file>