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F:\6 Techniekers\"/>
    </mc:Choice>
  </mc:AlternateContent>
  <bookViews>
    <workbookView xWindow="0" yWindow="0" windowWidth="28800" windowHeight="12210" tabRatio="686"/>
  </bookViews>
  <sheets>
    <sheet name="Januari" sheetId="4" r:id="rId1"/>
    <sheet name="Februari" sheetId="5" r:id="rId2"/>
    <sheet name="Maart" sheetId="17" r:id="rId3"/>
    <sheet name="April" sheetId="18" r:id="rId4"/>
    <sheet name="Mei" sheetId="19" r:id="rId5"/>
    <sheet name="Juni" sheetId="20" r:id="rId6"/>
    <sheet name="Juli" sheetId="21" r:id="rId7"/>
    <sheet name="Augustus" sheetId="22" r:id="rId8"/>
    <sheet name="September" sheetId="23" r:id="rId9"/>
    <sheet name="Oktober" sheetId="24" r:id="rId10"/>
    <sheet name="November" sheetId="25" r:id="rId11"/>
    <sheet name="December" sheetId="15" r:id="rId12"/>
    <sheet name="Werknemersnamen" sheetId="16" r:id="rId13"/>
  </sheets>
  <definedNames>
    <definedName name="_xlnm.Print_Titles" localSheetId="3">April!$4:$6</definedName>
    <definedName name="_xlnm.Print_Titles" localSheetId="7">Augustus!$4:$6</definedName>
    <definedName name="_xlnm.Print_Titles" localSheetId="11">December!$4:$6</definedName>
    <definedName name="_xlnm.Print_Titles" localSheetId="1">Februari!$4:$6</definedName>
    <definedName name="_xlnm.Print_Titles" localSheetId="0">Januari!$4:$6</definedName>
    <definedName name="_xlnm.Print_Titles" localSheetId="6">Juli!$4:$6</definedName>
    <definedName name="_xlnm.Print_Titles" localSheetId="5">Juni!$4:$6</definedName>
    <definedName name="_xlnm.Print_Titles" localSheetId="2">Maart!$4:$6</definedName>
    <definedName name="_xlnm.Print_Titles" localSheetId="4">Mei!$4:$6</definedName>
    <definedName name="_xlnm.Print_Titles" localSheetId="10">November!$4:$6</definedName>
    <definedName name="_xlnm.Print_Titles" localSheetId="9">Oktober!$4:$6</definedName>
    <definedName name="_xlnm.Print_Titles" localSheetId="8">September!$4:$6</definedName>
    <definedName name="CalendarYear">Januari!$AH$4</definedName>
    <definedName name="ColumnTitle13">NaamVanWerknemer[[#Headers],[Werknemersnamen]]</definedName>
    <definedName name="Employee_Absence_Title">Januari!$B$1</definedName>
    <definedName name="Key_name">Januari!$B$2</definedName>
    <definedName name="KeyCustom1">Januari!$N$2</definedName>
    <definedName name="KeyCustom1Label">Januari!$O$2</definedName>
    <definedName name="KeyCustom2">Januari!#REF!</definedName>
    <definedName name="KeyCustom2Label">Januari!$R$2</definedName>
    <definedName name="KeyPersonal">Januari!#REF!</definedName>
    <definedName name="KeyPersonalLabel">Januari!$G$2</definedName>
    <definedName name="KeySick">Januari!$K$2</definedName>
    <definedName name="KeySickLabel">Januari!#REF!</definedName>
    <definedName name="KeyVacation">Januari!$C$2</definedName>
    <definedName name="KeyVacationLabel">Januari!$D$2</definedName>
    <definedName name="MonthName" localSheetId="3">April!$B$4</definedName>
    <definedName name="MonthName" localSheetId="7">Augustus!$B$4</definedName>
    <definedName name="MonthName" localSheetId="11">December!$B$4</definedName>
    <definedName name="MonthName" localSheetId="1">Februari!$B$4</definedName>
    <definedName name="MonthName" localSheetId="0">Januari!$B$4</definedName>
    <definedName name="MonthName" localSheetId="6">Juli!$B$4</definedName>
    <definedName name="MonthName" localSheetId="5">Juni!$B$4</definedName>
    <definedName name="MonthName" localSheetId="2">Maart!$B$4</definedName>
    <definedName name="MonthName" localSheetId="4">Mei!$B$4</definedName>
    <definedName name="MonthName" localSheetId="10">November!$B$4</definedName>
    <definedName name="MonthName" localSheetId="9">Oktober!$B$4</definedName>
    <definedName name="MonthName" localSheetId="8">September!$B$4</definedName>
    <definedName name="Title1">Januari[[#Headers],[Naam van werknemer]]</definedName>
    <definedName name="Title10">Oktober[[#Headers],[Naam van werknemer]]</definedName>
    <definedName name="Title11">November[[#Headers],[Naam van werknemer]]</definedName>
    <definedName name="Title12">December[[#Headers],[Naam van werknemer]]</definedName>
    <definedName name="Title2">Februari[[#Headers],[Naam van werknemer]]</definedName>
    <definedName name="Title3">Maart[[#Headers],[Naam van werknemer]]</definedName>
    <definedName name="Title4">April[[#Headers],[Naam van werknemer]]</definedName>
    <definedName name="Title5">Mei[[#Headers],[Naam van werknemer]]</definedName>
    <definedName name="Title6">Juni[[#Headers],[Naam van werknemer]]</definedName>
    <definedName name="Title7">Juli[[#Headers],[Naam van werknemer]]</definedName>
    <definedName name="Title8">Augustus[[#Headers],[Naam van werknemer]]</definedName>
    <definedName name="Title9">September[[#Headers],[Naam van werknemer]]</definedName>
  </definedNames>
  <calcPr calcId="171027"/>
</workbook>
</file>

<file path=xl/calcChain.xml><?xml version="1.0" encoding="utf-8"?>
<calcChain xmlns="http://schemas.openxmlformats.org/spreadsheetml/2006/main">
  <c r="AH7" i="4" l="1"/>
  <c r="AH8" i="4"/>
  <c r="AH9" i="4"/>
  <c r="AH10" i="4"/>
  <c r="AH11" i="4"/>
  <c r="AI11" i="4" l="1"/>
  <c r="AI9" i="4"/>
  <c r="AI8" i="4"/>
  <c r="AI7" i="4"/>
  <c r="AI10" i="4"/>
  <c r="B12" i="15" l="1"/>
  <c r="B12" i="25"/>
  <c r="B12" i="24"/>
  <c r="B12" i="23"/>
  <c r="B12" i="22"/>
  <c r="B12" i="21"/>
  <c r="B12" i="20"/>
  <c r="B12" i="19"/>
  <c r="B12" i="18"/>
  <c r="B12" i="17"/>
  <c r="AH8" i="24" l="1"/>
  <c r="AH9" i="24"/>
  <c r="AH10" i="24"/>
  <c r="AH11" i="24"/>
  <c r="AH7" i="24"/>
  <c r="AH8" i="22"/>
  <c r="AH9" i="22"/>
  <c r="AH10" i="22"/>
  <c r="AH11" i="22"/>
  <c r="AH7" i="22"/>
  <c r="AH8" i="21"/>
  <c r="AH9" i="21"/>
  <c r="AH10" i="21"/>
  <c r="AH11" i="21"/>
  <c r="AH7" i="21"/>
  <c r="AH8" i="20"/>
  <c r="AH9" i="20"/>
  <c r="AH10" i="20"/>
  <c r="AH11" i="20"/>
  <c r="AH7" i="20"/>
  <c r="AH8" i="19"/>
  <c r="AH9" i="19"/>
  <c r="AH10" i="19"/>
  <c r="AH11" i="19"/>
  <c r="AH7" i="19"/>
  <c r="AH8" i="17"/>
  <c r="AH9" i="17"/>
  <c r="AH10" i="17"/>
  <c r="AH11" i="17"/>
  <c r="AH7" i="17"/>
  <c r="AH8" i="5"/>
  <c r="AH9" i="5"/>
  <c r="AH10" i="5"/>
  <c r="AH11" i="5"/>
  <c r="AH7" i="5"/>
  <c r="AF5" i="25" l="1"/>
  <c r="AE5" i="25"/>
  <c r="AD5" i="25"/>
  <c r="AC5" i="25"/>
  <c r="AB5" i="25"/>
  <c r="AA5" i="25"/>
  <c r="Z5" i="25"/>
  <c r="Y5" i="25"/>
  <c r="X5" i="25"/>
  <c r="W5" i="25"/>
  <c r="V5" i="25"/>
  <c r="U5" i="25"/>
  <c r="T5" i="25"/>
  <c r="S5" i="25"/>
  <c r="R5" i="25"/>
  <c r="Q5" i="25"/>
  <c r="P5" i="25"/>
  <c r="O5" i="25"/>
  <c r="N5" i="25"/>
  <c r="M5" i="25"/>
  <c r="L5" i="25"/>
  <c r="K5" i="25"/>
  <c r="J5" i="25"/>
  <c r="I5" i="25"/>
  <c r="H5" i="25"/>
  <c r="G5" i="25"/>
  <c r="F5" i="25"/>
  <c r="E5" i="25"/>
  <c r="D5" i="25"/>
  <c r="C5" i="25"/>
  <c r="AG12" i="25"/>
  <c r="AF12" i="25"/>
  <c r="AE12" i="25"/>
  <c r="AD12" i="25"/>
  <c r="AC12" i="25"/>
  <c r="AB12" i="25"/>
  <c r="AA12" i="25"/>
  <c r="Z12" i="25"/>
  <c r="Y12" i="25"/>
  <c r="X12" i="25"/>
  <c r="W12" i="25"/>
  <c r="V12" i="25"/>
  <c r="U12" i="25"/>
  <c r="T12" i="25"/>
  <c r="S12" i="25"/>
  <c r="R12" i="25"/>
  <c r="Q12" i="25"/>
  <c r="P12" i="25"/>
  <c r="O12" i="25"/>
  <c r="N12" i="25"/>
  <c r="M12" i="25"/>
  <c r="L12" i="25"/>
  <c r="K12" i="25"/>
  <c r="J12" i="25"/>
  <c r="I12" i="25"/>
  <c r="H12" i="25"/>
  <c r="G12" i="25"/>
  <c r="F12" i="25"/>
  <c r="E12" i="25"/>
  <c r="D12" i="25"/>
  <c r="C12" i="25"/>
  <c r="AH11" i="25"/>
  <c r="AH10" i="25"/>
  <c r="AH9" i="25"/>
  <c r="AH8" i="25"/>
  <c r="AH7" i="25"/>
  <c r="AH4" i="25"/>
  <c r="B1" i="25"/>
  <c r="AG5" i="24"/>
  <c r="AF5" i="24"/>
  <c r="AE5" i="24"/>
  <c r="AD5" i="24"/>
  <c r="AC5" i="24"/>
  <c r="AB5" i="24"/>
  <c r="AA5" i="24"/>
  <c r="Z5" i="24"/>
  <c r="Y5" i="24"/>
  <c r="X5" i="24"/>
  <c r="W5" i="24"/>
  <c r="V5" i="24"/>
  <c r="U5" i="24"/>
  <c r="T5" i="24"/>
  <c r="S5" i="24"/>
  <c r="R5" i="24"/>
  <c r="Q5" i="24"/>
  <c r="P5" i="24"/>
  <c r="O5" i="24"/>
  <c r="N5" i="24"/>
  <c r="M5" i="24"/>
  <c r="L5" i="24"/>
  <c r="K5" i="24"/>
  <c r="J5" i="24"/>
  <c r="I5" i="24"/>
  <c r="H5" i="24"/>
  <c r="G5" i="24"/>
  <c r="F5" i="24"/>
  <c r="E5" i="24"/>
  <c r="D5" i="24"/>
  <c r="C5" i="24"/>
  <c r="AG12" i="24"/>
  <c r="AF12" i="24"/>
  <c r="AE12" i="24"/>
  <c r="AD12" i="24"/>
  <c r="AC12" i="24"/>
  <c r="AB12" i="24"/>
  <c r="AA12" i="24"/>
  <c r="Z12" i="24"/>
  <c r="Y12" i="24"/>
  <c r="X12" i="24"/>
  <c r="W12" i="24"/>
  <c r="V12" i="24"/>
  <c r="U12" i="24"/>
  <c r="T12" i="24"/>
  <c r="S12" i="24"/>
  <c r="R12" i="24"/>
  <c r="Q12" i="24"/>
  <c r="P12" i="24"/>
  <c r="O12" i="24"/>
  <c r="N12" i="24"/>
  <c r="M12" i="24"/>
  <c r="L12" i="24"/>
  <c r="K12" i="24"/>
  <c r="J12" i="24"/>
  <c r="I12" i="24"/>
  <c r="H12" i="24"/>
  <c r="G12" i="24"/>
  <c r="F12" i="24"/>
  <c r="E12" i="24"/>
  <c r="D12" i="24"/>
  <c r="C12" i="24"/>
  <c r="AH4" i="24"/>
  <c r="B1" i="24"/>
  <c r="AF5" i="23"/>
  <c r="AE5" i="23"/>
  <c r="AD5" i="23"/>
  <c r="AC5" i="23"/>
  <c r="AB5" i="23"/>
  <c r="AA5" i="23"/>
  <c r="Z5" i="23"/>
  <c r="Y5" i="23"/>
  <c r="X5" i="23"/>
  <c r="W5" i="23"/>
  <c r="V5" i="23"/>
  <c r="U5" i="23"/>
  <c r="T5" i="23"/>
  <c r="S5" i="23"/>
  <c r="R5" i="23"/>
  <c r="Q5" i="23"/>
  <c r="P5" i="23"/>
  <c r="O5" i="23"/>
  <c r="N5" i="23"/>
  <c r="M5" i="23"/>
  <c r="L5" i="23"/>
  <c r="K5" i="23"/>
  <c r="J5" i="23"/>
  <c r="I5" i="23"/>
  <c r="H5" i="23"/>
  <c r="G5" i="23"/>
  <c r="F5" i="23"/>
  <c r="E5" i="23"/>
  <c r="D5" i="23"/>
  <c r="C5" i="23"/>
  <c r="AG12" i="23"/>
  <c r="AF12" i="23"/>
  <c r="AE12" i="23"/>
  <c r="AD12" i="23"/>
  <c r="AC12" i="23"/>
  <c r="AB12" i="23"/>
  <c r="AA12" i="23"/>
  <c r="Z12" i="23"/>
  <c r="Y12" i="23"/>
  <c r="X12" i="23"/>
  <c r="W12" i="23"/>
  <c r="V12" i="23"/>
  <c r="U12" i="23"/>
  <c r="T12" i="23"/>
  <c r="S12" i="23"/>
  <c r="R12" i="23"/>
  <c r="Q12" i="23"/>
  <c r="P12" i="23"/>
  <c r="O12" i="23"/>
  <c r="N12" i="23"/>
  <c r="M12" i="23"/>
  <c r="L12" i="23"/>
  <c r="K12" i="23"/>
  <c r="J12" i="23"/>
  <c r="I12" i="23"/>
  <c r="H12" i="23"/>
  <c r="G12" i="23"/>
  <c r="F12" i="23"/>
  <c r="E12" i="23"/>
  <c r="D12" i="23"/>
  <c r="C12" i="23"/>
  <c r="AH11" i="23"/>
  <c r="AH10" i="23"/>
  <c r="AH9" i="23"/>
  <c r="AH8" i="23"/>
  <c r="AH7" i="23"/>
  <c r="AH4" i="23"/>
  <c r="B1" i="23"/>
  <c r="AG5" i="22"/>
  <c r="AF5" i="22"/>
  <c r="AE5" i="22"/>
  <c r="AD5" i="22"/>
  <c r="AC5" i="22"/>
  <c r="AB5" i="22"/>
  <c r="AA5" i="22"/>
  <c r="Z5" i="22"/>
  <c r="Y5" i="22"/>
  <c r="X5" i="22"/>
  <c r="W5" i="22"/>
  <c r="V5" i="22"/>
  <c r="U5" i="22"/>
  <c r="T5" i="22"/>
  <c r="S5" i="22"/>
  <c r="R5" i="22"/>
  <c r="Q5" i="22"/>
  <c r="P5" i="22"/>
  <c r="O5" i="22"/>
  <c r="N5" i="22"/>
  <c r="M5" i="22"/>
  <c r="L5" i="22"/>
  <c r="K5" i="22"/>
  <c r="J5" i="22"/>
  <c r="I5" i="22"/>
  <c r="H5" i="22"/>
  <c r="G5" i="22"/>
  <c r="F5" i="22"/>
  <c r="E5" i="22"/>
  <c r="D5" i="22"/>
  <c r="C5" i="22"/>
  <c r="AG12" i="22"/>
  <c r="AF12" i="22"/>
  <c r="AE12" i="22"/>
  <c r="AD12" i="22"/>
  <c r="AC12" i="22"/>
  <c r="AB12" i="22"/>
  <c r="AA12" i="22"/>
  <c r="Z12" i="22"/>
  <c r="Y12" i="22"/>
  <c r="X12" i="22"/>
  <c r="W12" i="22"/>
  <c r="V12" i="22"/>
  <c r="U12" i="22"/>
  <c r="T12" i="22"/>
  <c r="S12" i="22"/>
  <c r="R12" i="22"/>
  <c r="Q12" i="22"/>
  <c r="P12" i="22"/>
  <c r="O12" i="22"/>
  <c r="N12" i="22"/>
  <c r="M12" i="22"/>
  <c r="L12" i="22"/>
  <c r="K12" i="22"/>
  <c r="J12" i="22"/>
  <c r="I12" i="22"/>
  <c r="H12" i="22"/>
  <c r="G12" i="22"/>
  <c r="F12" i="22"/>
  <c r="E12" i="22"/>
  <c r="D12" i="22"/>
  <c r="C12" i="22"/>
  <c r="AH4" i="22"/>
  <c r="B1" i="22"/>
  <c r="AG5" i="21"/>
  <c r="AF5" i="21"/>
  <c r="AE5" i="21"/>
  <c r="AD5" i="21"/>
  <c r="AC5" i="21"/>
  <c r="AB5" i="21"/>
  <c r="AA5" i="21"/>
  <c r="Z5" i="21"/>
  <c r="Y5" i="21"/>
  <c r="X5" i="21"/>
  <c r="W5" i="21"/>
  <c r="V5" i="21"/>
  <c r="U5" i="21"/>
  <c r="T5" i="21"/>
  <c r="S5" i="21"/>
  <c r="R5" i="21"/>
  <c r="Q5" i="21"/>
  <c r="P5" i="21"/>
  <c r="O5" i="21"/>
  <c r="N5" i="21"/>
  <c r="M5" i="21"/>
  <c r="L5" i="21"/>
  <c r="K5" i="21"/>
  <c r="J5" i="21"/>
  <c r="I5" i="21"/>
  <c r="H5" i="21"/>
  <c r="G5" i="21"/>
  <c r="F5" i="21"/>
  <c r="E5" i="21"/>
  <c r="D5" i="21"/>
  <c r="C5" i="21"/>
  <c r="AG12" i="21"/>
  <c r="AF12" i="21"/>
  <c r="AE12" i="21"/>
  <c r="AD12" i="21"/>
  <c r="AC12" i="21"/>
  <c r="AB12" i="21"/>
  <c r="AA12" i="21"/>
  <c r="Z12" i="21"/>
  <c r="Y12" i="21"/>
  <c r="X12" i="21"/>
  <c r="W12" i="21"/>
  <c r="V12" i="21"/>
  <c r="U12" i="21"/>
  <c r="T12" i="21"/>
  <c r="S12" i="21"/>
  <c r="R12" i="21"/>
  <c r="Q12" i="21"/>
  <c r="P12" i="21"/>
  <c r="O12" i="21"/>
  <c r="N12" i="21"/>
  <c r="M12" i="21"/>
  <c r="L12" i="21"/>
  <c r="K12" i="21"/>
  <c r="J12" i="21"/>
  <c r="I12" i="21"/>
  <c r="H12" i="21"/>
  <c r="G12" i="21"/>
  <c r="F12" i="21"/>
  <c r="E12" i="21"/>
  <c r="D12" i="21"/>
  <c r="C12" i="21"/>
  <c r="AH12" i="21"/>
  <c r="AH4" i="21"/>
  <c r="B1" i="21"/>
  <c r="AF5" i="20"/>
  <c r="AE5" i="20"/>
  <c r="AD5" i="20"/>
  <c r="AC5" i="20"/>
  <c r="AB5" i="20"/>
  <c r="AA5" i="20"/>
  <c r="Z5" i="20"/>
  <c r="Y5" i="20"/>
  <c r="X5" i="20"/>
  <c r="W5" i="20"/>
  <c r="V5" i="20"/>
  <c r="U5" i="20"/>
  <c r="T5" i="20"/>
  <c r="S5" i="20"/>
  <c r="R5" i="20"/>
  <c r="Q5" i="20"/>
  <c r="P5" i="20"/>
  <c r="O5" i="20"/>
  <c r="N5" i="20"/>
  <c r="M5" i="20"/>
  <c r="L5" i="20"/>
  <c r="K5" i="20"/>
  <c r="J5" i="20"/>
  <c r="I5" i="20"/>
  <c r="H5" i="20"/>
  <c r="G5" i="20"/>
  <c r="F5" i="20"/>
  <c r="E5" i="20"/>
  <c r="D5" i="20"/>
  <c r="C5" i="20"/>
  <c r="AG12" i="20"/>
  <c r="AF12" i="20"/>
  <c r="AE12" i="20"/>
  <c r="AD12" i="20"/>
  <c r="AC12" i="20"/>
  <c r="AB12" i="20"/>
  <c r="AA12" i="20"/>
  <c r="Z12" i="20"/>
  <c r="Y12" i="20"/>
  <c r="X12" i="20"/>
  <c r="W12" i="20"/>
  <c r="V12" i="20"/>
  <c r="U12" i="20"/>
  <c r="T12" i="20"/>
  <c r="S12" i="20"/>
  <c r="R12" i="20"/>
  <c r="Q12" i="20"/>
  <c r="P12" i="20"/>
  <c r="O12" i="20"/>
  <c r="N12" i="20"/>
  <c r="M12" i="20"/>
  <c r="L12" i="20"/>
  <c r="K12" i="20"/>
  <c r="J12" i="20"/>
  <c r="I12" i="20"/>
  <c r="H12" i="20"/>
  <c r="G12" i="20"/>
  <c r="F12" i="20"/>
  <c r="E12" i="20"/>
  <c r="D12" i="20"/>
  <c r="C12" i="20"/>
  <c r="AH4" i="20"/>
  <c r="B1" i="20"/>
  <c r="AG5" i="19"/>
  <c r="AF5" i="19"/>
  <c r="AE5" i="19"/>
  <c r="AD5" i="19"/>
  <c r="AC5" i="19"/>
  <c r="AB5" i="19"/>
  <c r="AA5" i="19"/>
  <c r="Z5" i="19"/>
  <c r="Y5" i="19"/>
  <c r="X5" i="19"/>
  <c r="W5" i="19"/>
  <c r="V5" i="19"/>
  <c r="U5" i="19"/>
  <c r="T5" i="19"/>
  <c r="S5" i="19"/>
  <c r="R5" i="19"/>
  <c r="Q5" i="19"/>
  <c r="P5" i="19"/>
  <c r="O5" i="19"/>
  <c r="N5" i="19"/>
  <c r="M5" i="19"/>
  <c r="L5" i="19"/>
  <c r="K5" i="19"/>
  <c r="J5" i="19"/>
  <c r="I5" i="19"/>
  <c r="H5" i="19"/>
  <c r="G5" i="19"/>
  <c r="F5" i="19"/>
  <c r="E5" i="19"/>
  <c r="D5" i="19"/>
  <c r="C5" i="19"/>
  <c r="AG12" i="19"/>
  <c r="AF12" i="19"/>
  <c r="AE12" i="19"/>
  <c r="AD12" i="19"/>
  <c r="AC12" i="19"/>
  <c r="AB12" i="19"/>
  <c r="AA12" i="19"/>
  <c r="Z12" i="19"/>
  <c r="Y12" i="19"/>
  <c r="X12" i="19"/>
  <c r="W12" i="19"/>
  <c r="V12" i="19"/>
  <c r="U12" i="19"/>
  <c r="T12" i="19"/>
  <c r="S12" i="19"/>
  <c r="R12" i="19"/>
  <c r="Q12" i="19"/>
  <c r="P12" i="19"/>
  <c r="O12" i="19"/>
  <c r="N12" i="19"/>
  <c r="M12" i="19"/>
  <c r="L12" i="19"/>
  <c r="K12" i="19"/>
  <c r="J12" i="19"/>
  <c r="I12" i="19"/>
  <c r="H12" i="19"/>
  <c r="G12" i="19"/>
  <c r="F12" i="19"/>
  <c r="E12" i="19"/>
  <c r="D12" i="19"/>
  <c r="C12" i="19"/>
  <c r="AH4" i="19"/>
  <c r="B1" i="19"/>
  <c r="AF5" i="18"/>
  <c r="AE5" i="18"/>
  <c r="AD5" i="18"/>
  <c r="AC5" i="18"/>
  <c r="AB5" i="18"/>
  <c r="AA5" i="18"/>
  <c r="Z5" i="18"/>
  <c r="Y5" i="18"/>
  <c r="X5" i="18"/>
  <c r="W5" i="18"/>
  <c r="V5" i="18"/>
  <c r="U5" i="18"/>
  <c r="T5" i="18"/>
  <c r="S5" i="18"/>
  <c r="R5" i="18"/>
  <c r="Q5" i="18"/>
  <c r="P5" i="18"/>
  <c r="O5" i="18"/>
  <c r="N5" i="18"/>
  <c r="M5" i="18"/>
  <c r="L5" i="18"/>
  <c r="K5" i="18"/>
  <c r="J5" i="18"/>
  <c r="I5" i="18"/>
  <c r="H5" i="18"/>
  <c r="G5" i="18"/>
  <c r="F5" i="18"/>
  <c r="E5" i="18"/>
  <c r="D5" i="18"/>
  <c r="C5" i="18"/>
  <c r="AG12" i="18"/>
  <c r="AF12" i="18"/>
  <c r="AE12" i="18"/>
  <c r="AD12" i="18"/>
  <c r="AC12" i="18"/>
  <c r="AB12" i="18"/>
  <c r="AA12" i="18"/>
  <c r="Z12" i="18"/>
  <c r="Y12" i="18"/>
  <c r="X12" i="18"/>
  <c r="W12" i="18"/>
  <c r="V12" i="18"/>
  <c r="U12" i="18"/>
  <c r="T12" i="18"/>
  <c r="S12" i="18"/>
  <c r="R12" i="18"/>
  <c r="Q12" i="18"/>
  <c r="P12" i="18"/>
  <c r="O12" i="18"/>
  <c r="N12" i="18"/>
  <c r="M12" i="18"/>
  <c r="L12" i="18"/>
  <c r="K12" i="18"/>
  <c r="J12" i="18"/>
  <c r="I12" i="18"/>
  <c r="H12" i="18"/>
  <c r="G12" i="18"/>
  <c r="F12" i="18"/>
  <c r="E12" i="18"/>
  <c r="D12" i="18"/>
  <c r="C12" i="18"/>
  <c r="AH11" i="18"/>
  <c r="AH10" i="18"/>
  <c r="AH9" i="18"/>
  <c r="AH8" i="18"/>
  <c r="AH7" i="18"/>
  <c r="AH4" i="18"/>
  <c r="B1" i="18"/>
  <c r="AG5" i="17"/>
  <c r="AF5" i="17"/>
  <c r="AE5" i="17"/>
  <c r="AD5" i="17"/>
  <c r="AC5" i="17"/>
  <c r="AB5" i="17"/>
  <c r="AA5" i="17"/>
  <c r="Z5" i="17"/>
  <c r="Y5" i="17"/>
  <c r="X5" i="17"/>
  <c r="W5" i="17"/>
  <c r="V5" i="17"/>
  <c r="U5" i="17"/>
  <c r="T5" i="17"/>
  <c r="S5" i="17"/>
  <c r="R5" i="17"/>
  <c r="Q5" i="17"/>
  <c r="P5" i="17"/>
  <c r="O5" i="17"/>
  <c r="N5" i="17"/>
  <c r="M5" i="17"/>
  <c r="L5" i="17"/>
  <c r="K5" i="17"/>
  <c r="J5" i="17"/>
  <c r="I5" i="17"/>
  <c r="H5" i="17"/>
  <c r="G5" i="17"/>
  <c r="F5" i="17"/>
  <c r="E5" i="17"/>
  <c r="D5" i="17"/>
  <c r="C5" i="17"/>
  <c r="AG12" i="17"/>
  <c r="AF12" i="17"/>
  <c r="AE12" i="17"/>
  <c r="AD12" i="17"/>
  <c r="AC12" i="17"/>
  <c r="AB12" i="17"/>
  <c r="AA12" i="17"/>
  <c r="Z12" i="17"/>
  <c r="Y12" i="17"/>
  <c r="X12" i="17"/>
  <c r="W12" i="17"/>
  <c r="V12" i="17"/>
  <c r="U12" i="17"/>
  <c r="T12" i="17"/>
  <c r="S12" i="17"/>
  <c r="R12" i="17"/>
  <c r="Q12" i="17"/>
  <c r="P12" i="17"/>
  <c r="O12" i="17"/>
  <c r="N12" i="17"/>
  <c r="M12" i="17"/>
  <c r="L12" i="17"/>
  <c r="K12" i="17"/>
  <c r="J12" i="17"/>
  <c r="I12" i="17"/>
  <c r="H12" i="17"/>
  <c r="G12" i="17"/>
  <c r="F12" i="17"/>
  <c r="E12" i="17"/>
  <c r="D12" i="17"/>
  <c r="C12" i="17"/>
  <c r="AH12" i="17"/>
  <c r="AH4" i="17"/>
  <c r="B1" i="17"/>
  <c r="B1" i="15"/>
  <c r="B1" i="5"/>
  <c r="AH12" i="23" l="1"/>
  <c r="AH12" i="18"/>
  <c r="AH12" i="22"/>
  <c r="AH12" i="25"/>
  <c r="AH12" i="20"/>
  <c r="AH12" i="19"/>
  <c r="AH12" i="24"/>
  <c r="AB5" i="5"/>
  <c r="AH4" i="5" l="1"/>
  <c r="AH4" i="15" l="1"/>
  <c r="AG12" i="15" l="1"/>
  <c r="AF12" i="15"/>
  <c r="AH7" i="15"/>
  <c r="AH8" i="15"/>
  <c r="AH9" i="15"/>
  <c r="AH10" i="15"/>
  <c r="AH11" i="15"/>
  <c r="AH12" i="15" l="1"/>
  <c r="C12" i="15"/>
  <c r="D12" i="15"/>
  <c r="E12" i="15"/>
  <c r="F12" i="15"/>
  <c r="G12" i="15"/>
  <c r="H12" i="15"/>
  <c r="I12" i="15"/>
  <c r="J12" i="15"/>
  <c r="K12" i="15"/>
  <c r="L12" i="15"/>
  <c r="M12" i="15"/>
  <c r="N12" i="15"/>
  <c r="O12" i="15"/>
  <c r="P12" i="15"/>
  <c r="Q12" i="15"/>
  <c r="R12" i="15"/>
  <c r="S12" i="15"/>
  <c r="T12" i="15"/>
  <c r="U12" i="15"/>
  <c r="V12" i="15"/>
  <c r="W12" i="15"/>
  <c r="X12" i="15"/>
  <c r="Y12" i="15"/>
  <c r="Z12" i="15"/>
  <c r="AA12" i="15"/>
  <c r="AB12" i="15"/>
  <c r="AC12" i="15"/>
  <c r="AD12" i="15"/>
  <c r="AE12" i="15"/>
  <c r="AG5" i="15" l="1"/>
  <c r="AF5" i="15"/>
  <c r="AE5" i="15"/>
  <c r="AD5" i="15"/>
  <c r="AC5" i="15"/>
  <c r="AB5" i="15"/>
  <c r="AA5" i="15"/>
  <c r="Z5" i="15"/>
  <c r="Y5" i="15"/>
  <c r="X5" i="15"/>
  <c r="W5" i="15"/>
  <c r="V5" i="15"/>
  <c r="U5" i="15"/>
  <c r="T5" i="15"/>
  <c r="S5" i="15"/>
  <c r="R5" i="15"/>
  <c r="Q5" i="15"/>
  <c r="P5" i="15"/>
  <c r="O5" i="15"/>
  <c r="N5" i="15"/>
  <c r="M5" i="15"/>
  <c r="L5" i="15"/>
  <c r="K5" i="15"/>
  <c r="J5" i="15"/>
  <c r="I5" i="15"/>
  <c r="H5" i="15"/>
  <c r="G5" i="15"/>
  <c r="F5" i="15"/>
  <c r="E5" i="15"/>
  <c r="D5" i="15"/>
  <c r="C5" i="15"/>
  <c r="AE5" i="5" l="1"/>
  <c r="AD5" i="5"/>
  <c r="AC5" i="5"/>
  <c r="AA5" i="5"/>
  <c r="Z5" i="5"/>
  <c r="Y5" i="5"/>
  <c r="X5" i="5"/>
  <c r="W5" i="5"/>
  <c r="V5" i="5"/>
  <c r="U5" i="5"/>
  <c r="T5" i="5"/>
  <c r="S5" i="5"/>
  <c r="R5" i="5"/>
  <c r="Q5" i="5"/>
  <c r="P5" i="5"/>
  <c r="O5" i="5"/>
  <c r="N5" i="5"/>
  <c r="M5" i="5"/>
  <c r="L5" i="5"/>
  <c r="K5" i="5"/>
  <c r="J5" i="5"/>
  <c r="I5" i="5"/>
  <c r="H5" i="5"/>
  <c r="G5" i="5"/>
  <c r="F5" i="5"/>
  <c r="E5" i="5"/>
  <c r="D5" i="5"/>
  <c r="C5" i="5"/>
  <c r="AE5" i="4" l="1"/>
  <c r="AA5" i="4"/>
  <c r="W5" i="4"/>
  <c r="O5" i="4"/>
  <c r="G5" i="4"/>
  <c r="AD5" i="4"/>
  <c r="Z5" i="4"/>
  <c r="R5" i="4"/>
  <c r="N5" i="4"/>
  <c r="F5" i="4"/>
  <c r="M5" i="4"/>
  <c r="AG5" i="4"/>
  <c r="AC5" i="4"/>
  <c r="Y5" i="4"/>
  <c r="S5" i="4"/>
  <c r="K5" i="4"/>
  <c r="E5" i="4"/>
  <c r="AF5" i="4"/>
  <c r="AB5" i="4"/>
  <c r="X5" i="4"/>
  <c r="T5" i="4"/>
  <c r="P5" i="4"/>
  <c r="L5" i="4"/>
  <c r="H5" i="4"/>
  <c r="D5" i="4"/>
  <c r="Q5" i="4"/>
  <c r="I5" i="4"/>
  <c r="C5" i="4"/>
  <c r="V5" i="4"/>
  <c r="J5" i="4"/>
  <c r="U5" i="4"/>
</calcChain>
</file>

<file path=xl/sharedStrings.xml><?xml version="1.0" encoding="utf-8"?>
<sst xmlns="http://schemas.openxmlformats.org/spreadsheetml/2006/main" count="619" uniqueCount="71">
  <si>
    <t>Werknemersafwezigheidsplanning</t>
  </si>
  <si>
    <t>Januari</t>
  </si>
  <si>
    <t>Naam van werknemer</t>
  </si>
  <si>
    <t>V</t>
  </si>
  <si>
    <t>Afwezigheidsdatums</t>
  </si>
  <si>
    <t>1</t>
  </si>
  <si>
    <t>2</t>
  </si>
  <si>
    <t>3</t>
  </si>
  <si>
    <t>4</t>
  </si>
  <si>
    <t>Z</t>
  </si>
  <si>
    <t>5</t>
  </si>
  <si>
    <t>6</t>
  </si>
  <si>
    <t>7</t>
  </si>
  <si>
    <t>8</t>
  </si>
  <si>
    <t>9</t>
  </si>
  <si>
    <t>Ziek</t>
  </si>
  <si>
    <t>10</t>
  </si>
  <si>
    <t>11</t>
  </si>
  <si>
    <t>12</t>
  </si>
  <si>
    <t>13</t>
  </si>
  <si>
    <t>14</t>
  </si>
  <si>
    <t>15</t>
  </si>
  <si>
    <t>16</t>
  </si>
  <si>
    <t>17</t>
  </si>
  <si>
    <t>18</t>
  </si>
  <si>
    <t>19</t>
  </si>
  <si>
    <t>20</t>
  </si>
  <si>
    <t>21</t>
  </si>
  <si>
    <t>22</t>
  </si>
  <si>
    <t>23</t>
  </si>
  <si>
    <t>24</t>
  </si>
  <si>
    <t>25</t>
  </si>
  <si>
    <t>26</t>
  </si>
  <si>
    <t>27</t>
  </si>
  <si>
    <t>28</t>
  </si>
  <si>
    <t>29</t>
  </si>
  <si>
    <t>30</t>
  </si>
  <si>
    <t>31</t>
  </si>
  <si>
    <t>Voer het jaar in:</t>
  </si>
  <si>
    <t>Totaal aantal dagen</t>
  </si>
  <si>
    <t>Februari</t>
  </si>
  <si>
    <t xml:space="preserve"> </t>
  </si>
  <si>
    <t xml:space="preserve">  </t>
  </si>
  <si>
    <t>Maart</t>
  </si>
  <si>
    <t>April</t>
  </si>
  <si>
    <t>Juni</t>
  </si>
  <si>
    <t>Juli</t>
  </si>
  <si>
    <t>Augustus</t>
  </si>
  <si>
    <t>Oktober</t>
  </si>
  <si>
    <t>November</t>
  </si>
  <si>
    <t>December</t>
  </si>
  <si>
    <t>Werknemersnamen</t>
  </si>
  <si>
    <t>Mei</t>
  </si>
  <si>
    <t>September</t>
  </si>
  <si>
    <t>Werknemer 1</t>
  </si>
  <si>
    <t>Werknemer 2</t>
  </si>
  <si>
    <t>Werknemer 3</t>
  </si>
  <si>
    <t>Werknemer 4</t>
  </si>
  <si>
    <t>Werknemer 5</t>
  </si>
  <si>
    <t>1/2</t>
  </si>
  <si>
    <t>Halve dag verlof</t>
  </si>
  <si>
    <t>Verlof</t>
  </si>
  <si>
    <t>R</t>
  </si>
  <si>
    <t>Recup</t>
  </si>
  <si>
    <t>Van wacht</t>
  </si>
  <si>
    <t>W</t>
  </si>
  <si>
    <t>Totaal aantal</t>
  </si>
  <si>
    <t xml:space="preserve">Aantal dagen </t>
  </si>
  <si>
    <t>ziek</t>
  </si>
  <si>
    <t>dagen verlof</t>
  </si>
  <si>
    <t>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</si>
</sst>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sz val="11"/>
      <color theme="0"/>
      <name val="Calibri"/>
      <family val="2"/>
      <scheme val="minor"/>
    </font>
    <font>
      <b/>
      <sz val="26"/>
      <color theme="3" tint="-0.24994659260841701"/>
      <name val="Calibri"/>
      <family val="2"/>
      <scheme val="major"/>
    </font>
    <font>
      <b/>
      <sz val="18"/>
      <color theme="4" tint="-0.24994659260841701"/>
      <name val="Calibri"/>
      <family val="2"/>
      <scheme val="minor"/>
    </font>
    <font>
      <b/>
      <sz val="26"/>
      <color theme="3"/>
      <name val="Calibri"/>
      <family val="2"/>
      <scheme val="minor"/>
    </font>
    <font>
      <sz val="11"/>
      <color theme="4" tint="-0.499984740745262"/>
      <name val="Calibri"/>
      <family val="2"/>
      <scheme val="minor"/>
    </font>
    <font>
      <sz val="9"/>
      <color theme="1"/>
      <name val="Calibri"/>
      <family val="2"/>
      <scheme val="minor"/>
    </font>
    <font>
      <b/>
      <sz val="11"/>
      <color rgb="FFFFFF00"/>
      <name val="Calibri"/>
      <family val="2"/>
      <scheme val="minor"/>
    </font>
    <font>
      <b/>
      <sz val="11"/>
      <name val="Calibri"/>
      <family val="2"/>
      <scheme val="minor"/>
    </font>
    <font>
      <b/>
      <sz val="12"/>
      <color theme="1"/>
      <name val="Calibri"/>
      <family val="2"/>
      <scheme val="minor"/>
    </font>
    <font>
      <b/>
      <sz val="12"/>
      <name val="Calibri"/>
      <family val="2"/>
      <scheme val="minor"/>
    </font>
    <font>
      <b/>
      <sz val="14"/>
      <name val="Calibri"/>
      <family val="2"/>
      <scheme val="minor"/>
    </font>
    <font>
      <b/>
      <sz val="14"/>
      <color theme="1"/>
      <name val="Calibri"/>
      <family val="2"/>
      <scheme val="minor"/>
    </font>
    <font>
      <sz val="14"/>
      <color theme="1"/>
      <name val="Calibri"/>
      <family val="2"/>
      <scheme val="minor"/>
    </font>
  </fonts>
  <fills count="29">
    <fill>
      <patternFill patternType="none"/>
    </fill>
    <fill>
      <patternFill patternType="gray125"/>
    </fill>
    <fill>
      <patternFill patternType="solid">
        <fgColor theme="2"/>
        <bgColor indexed="64"/>
      </patternFill>
    </fill>
    <fill>
      <patternFill patternType="solid">
        <fgColor theme="7"/>
        <bgColor indexed="64"/>
      </patternFill>
    </fill>
    <fill>
      <patternFill patternType="solid">
        <fgColor theme="7" tint="0.79998168889431442"/>
        <bgColor indexed="65"/>
      </patternFill>
    </fill>
    <fill>
      <patternFill patternType="solid">
        <fgColor theme="7" tint="0.39997558519241921"/>
        <bgColor indexed="65"/>
      </patternFill>
    </fill>
    <fill>
      <patternFill patternType="solid">
        <fgColor theme="3" tint="0.79998168889431442"/>
        <bgColor indexed="64"/>
      </patternFill>
    </fill>
    <fill>
      <patternFill patternType="solid">
        <fgColor theme="3" tint="-0.24994659260841701"/>
        <bgColor indexed="64"/>
      </patternFill>
    </fill>
    <fill>
      <patternFill patternType="solid">
        <fgColor theme="3" tint="0.39994506668294322"/>
        <bgColor indexed="64"/>
      </patternFill>
    </fill>
    <fill>
      <patternFill patternType="solid">
        <fgColor theme="7" tint="0.59996337778862885"/>
        <bgColor indexed="64"/>
      </patternFill>
    </fill>
    <fill>
      <patternFill patternType="solid">
        <fgColor theme="5" tint="0.59999389629810485"/>
        <bgColor indexed="65"/>
      </patternFill>
    </fill>
    <fill>
      <patternFill patternType="solid">
        <fgColor theme="6"/>
      </patternFill>
    </fill>
    <fill>
      <patternFill patternType="solid">
        <fgColor theme="6" tint="0.59999389629810485"/>
        <bgColor indexed="65"/>
      </patternFill>
    </fill>
    <fill>
      <patternFill patternType="solid">
        <fgColor theme="6" tint="0.39997558519241921"/>
        <bgColor indexed="65"/>
      </patternFill>
    </fill>
    <fill>
      <patternFill patternType="solid">
        <fgColor theme="8" tint="0.59999389629810485"/>
        <bgColor indexed="65"/>
      </patternFill>
    </fill>
    <fill>
      <patternFill patternType="solid">
        <fgColor theme="4" tint="0.39994506668294322"/>
        <bgColor indexed="64"/>
      </patternFill>
    </fill>
    <fill>
      <patternFill patternType="solid">
        <fgColor theme="4" tint="0.59996337778862885"/>
        <bgColor indexed="64"/>
      </patternFill>
    </fill>
    <fill>
      <patternFill patternType="solid">
        <fgColor theme="4" tint="0.79998168889431442"/>
        <bgColor indexed="64"/>
      </patternFill>
    </fill>
    <fill>
      <patternFill patternType="solid">
        <fgColor rgb="FFF8E3E0"/>
        <bgColor indexed="64"/>
      </patternFill>
    </fill>
    <fill>
      <patternFill patternType="solid">
        <fgColor theme="5" tint="0.39994506668294322"/>
        <bgColor indexed="64"/>
      </patternFill>
    </fill>
    <fill>
      <patternFill patternType="solid">
        <fgColor theme="6" tint="0.59996337778862885"/>
        <bgColor indexed="64"/>
      </patternFill>
    </fill>
    <fill>
      <patternFill patternType="solid">
        <fgColor theme="6" tint="0.79998168889431442"/>
        <bgColor indexed="64"/>
      </patternFill>
    </fill>
    <fill>
      <patternFill patternType="solid">
        <fgColor rgb="FFFF0000"/>
        <bgColor indexed="64"/>
      </patternFill>
    </fill>
    <fill>
      <patternFill patternType="solid">
        <fgColor theme="6" tint="0.59999389629810485"/>
        <bgColor indexed="64"/>
      </patternFill>
    </fill>
    <fill>
      <patternFill patternType="solid">
        <fgColor rgb="FF00B0F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7" tint="0.79998168889431442"/>
        <bgColor indexed="64"/>
      </patternFill>
    </fill>
    <fill>
      <patternFill patternType="solid">
        <fgColor theme="6" tint="0.39997558519241921"/>
        <bgColor indexed="64"/>
      </patternFill>
    </fill>
  </fills>
  <borders count="8">
    <border>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right style="medium">
        <color auto="1"/>
      </right>
      <top style="medium">
        <color auto="1"/>
      </top>
      <bottom/>
      <diagonal/>
    </border>
  </borders>
  <cellStyleXfs count="28">
    <xf numFmtId="0" fontId="0" fillId="0" borderId="0">
      <alignment horizontal="left" vertical="center"/>
    </xf>
    <xf numFmtId="0" fontId="7" fillId="0" borderId="0" applyNumberFormat="0" applyFill="0" applyBorder="0" applyProtection="0">
      <alignment vertical="top"/>
    </xf>
    <xf numFmtId="0" fontId="5" fillId="0" borderId="0" applyNumberFormat="0" applyFill="0" applyBorder="0" applyProtection="0">
      <alignment vertical="top"/>
    </xf>
    <xf numFmtId="0" fontId="6" fillId="2" borderId="0" applyNumberFormat="0" applyBorder="0" applyProtection="0">
      <alignment horizontal="center" vertical="center"/>
    </xf>
    <xf numFmtId="0" fontId="2" fillId="20" borderId="0" applyNumberFormat="0" applyProtection="0">
      <alignment horizontal="right" vertical="center" indent="1"/>
    </xf>
    <xf numFmtId="0" fontId="3" fillId="0" borderId="0" applyNumberFormat="0" applyFill="0" applyBorder="0" applyProtection="0">
      <alignment horizontal="left" vertical="center" indent="2"/>
    </xf>
    <xf numFmtId="0" fontId="4" fillId="3" borderId="0" applyNumberFormat="0" applyBorder="0" applyAlignment="0" applyProtection="0"/>
    <xf numFmtId="0" fontId="1" fillId="4" borderId="0" applyNumberFormat="0" applyBorder="0" applyProtection="0">
      <alignment horizontal="center" vertical="center"/>
    </xf>
    <xf numFmtId="0" fontId="2" fillId="9" borderId="0" applyNumberFormat="0" applyBorder="0" applyAlignment="0" applyProtection="0"/>
    <xf numFmtId="0" fontId="1" fillId="5" borderId="0" applyNumberFormat="0" applyBorder="0" applyAlignment="0" applyProtection="0"/>
    <xf numFmtId="0" fontId="4" fillId="7" borderId="0" applyNumberFormat="0" applyBorder="0" applyAlignment="0" applyProtection="0"/>
    <xf numFmtId="0" fontId="1" fillId="6" borderId="0" applyNumberFormat="0" applyBorder="0" applyAlignment="0" applyProtection="0"/>
    <xf numFmtId="0" fontId="2" fillId="15" borderId="0" applyNumberFormat="0" applyBorder="0" applyAlignment="0" applyProtection="0"/>
    <xf numFmtId="0" fontId="1" fillId="8" borderId="0" applyNumberFormat="0" applyBorder="0" applyAlignment="0" applyProtection="0"/>
    <xf numFmtId="0" fontId="4" fillId="15" borderId="0" applyNumberFormat="0" applyBorder="0" applyAlignment="0" applyProtection="0"/>
    <xf numFmtId="0" fontId="1" fillId="18" borderId="0" applyNumberFormat="0" applyBorder="0" applyAlignment="0" applyProtection="0"/>
    <xf numFmtId="0" fontId="2" fillId="17"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2" fillId="10" borderId="0" applyNumberFormat="0" applyBorder="0" applyAlignment="0" applyProtection="0"/>
    <xf numFmtId="0" fontId="4" fillId="11" borderId="0" applyNumberFormat="0" applyBorder="0" applyAlignment="0" applyProtection="0"/>
    <xf numFmtId="0" fontId="1" fillId="2" borderId="0" applyNumberFormat="0" applyBorder="0" applyAlignment="0" applyProtection="0"/>
    <xf numFmtId="0" fontId="2" fillId="12" borderId="0" applyNumberFormat="0" applyBorder="0" applyProtection="0">
      <alignment horizontal="left" vertical="center" indent="1"/>
    </xf>
    <xf numFmtId="0" fontId="2" fillId="13" borderId="0" applyNumberFormat="0" applyBorder="0" applyAlignment="0" applyProtection="0"/>
    <xf numFmtId="0" fontId="2" fillId="14" borderId="0" applyNumberFormat="0" applyBorder="0" applyAlignment="0" applyProtection="0"/>
    <xf numFmtId="1" fontId="1" fillId="0" borderId="0" applyFill="0" applyBorder="0" applyProtection="0">
      <alignment horizontal="center" vertical="center"/>
    </xf>
    <xf numFmtId="0" fontId="1" fillId="0" borderId="0" applyNumberFormat="0" applyFill="0" applyBorder="0">
      <alignment horizontal="left" vertical="center" wrapText="1" indent="2"/>
    </xf>
    <xf numFmtId="0" fontId="8" fillId="0" borderId="0">
      <alignment horizontal="center"/>
    </xf>
  </cellStyleXfs>
  <cellXfs count="59">
    <xf numFmtId="0" fontId="0" fillId="0" borderId="0" xfId="0">
      <alignment horizontal="left" vertical="center"/>
    </xf>
    <xf numFmtId="0" fontId="0" fillId="0" borderId="0" xfId="0" applyAlignment="1" applyProtection="1">
      <alignment horizontal="center" vertical="center"/>
    </xf>
    <xf numFmtId="0" fontId="0" fillId="0" borderId="0" xfId="0" applyFont="1" applyFill="1" applyBorder="1" applyAlignment="1" applyProtection="1">
      <alignment horizontal="center" vertical="center"/>
    </xf>
    <xf numFmtId="0" fontId="2" fillId="15" borderId="0" xfId="12" applyAlignment="1" applyProtection="1">
      <alignment horizontal="center" vertical="center"/>
    </xf>
    <xf numFmtId="0" fontId="1" fillId="0" borderId="0" xfId="26" applyFill="1" applyBorder="1">
      <alignment horizontal="left" vertical="center" wrapText="1" indent="2"/>
    </xf>
    <xf numFmtId="1" fontId="1" fillId="0" borderId="0" xfId="25" applyFill="1" applyBorder="1" applyProtection="1">
      <alignment horizontal="center" vertical="center"/>
    </xf>
    <xf numFmtId="0" fontId="0" fillId="0" borderId="0" xfId="0" applyProtection="1">
      <alignment horizontal="left" vertical="center"/>
    </xf>
    <xf numFmtId="0" fontId="6" fillId="2" borderId="0" xfId="3" applyProtection="1">
      <alignment horizontal="center" vertical="center"/>
    </xf>
    <xf numFmtId="164" fontId="0" fillId="0" borderId="0" xfId="0" applyNumberFormat="1" applyFont="1" applyFill="1" applyBorder="1" applyAlignment="1" applyProtection="1">
      <alignment horizontal="center" vertical="center"/>
    </xf>
    <xf numFmtId="0" fontId="7" fillId="0" borderId="0" xfId="1" applyAlignment="1" applyProtection="1">
      <alignment vertical="top"/>
    </xf>
    <xf numFmtId="0" fontId="1" fillId="2" borderId="0" xfId="21" applyBorder="1" applyAlignment="1" applyProtection="1">
      <alignment horizontal="left" vertical="center" indent="1"/>
    </xf>
    <xf numFmtId="0" fontId="0" fillId="0" borderId="0" xfId="21" applyFont="1" applyFill="1" applyBorder="1" applyAlignment="1" applyProtection="1">
      <alignment horizontal="center" vertical="center"/>
    </xf>
    <xf numFmtId="0" fontId="0" fillId="0" borderId="0" xfId="0" applyAlignment="1" applyProtection="1">
      <alignment horizontal="left" vertical="center" wrapText="1"/>
    </xf>
    <xf numFmtId="0" fontId="8" fillId="0" borderId="0" xfId="27" applyProtection="1">
      <alignment horizontal="center"/>
    </xf>
    <xf numFmtId="0" fontId="0" fillId="0" borderId="0" xfId="0" applyFont="1" applyFill="1" applyBorder="1" applyAlignment="1" applyProtection="1">
      <alignment horizontal="left" vertical="center" indent="1"/>
    </xf>
    <xf numFmtId="0" fontId="7" fillId="0" borderId="0" xfId="1">
      <alignment vertical="top"/>
    </xf>
    <xf numFmtId="0" fontId="0" fillId="0" borderId="0" xfId="26" applyFont="1">
      <alignment horizontal="left" vertical="center" wrapText="1" indent="2"/>
    </xf>
    <xf numFmtId="0" fontId="1" fillId="2" borderId="0" xfId="21" applyAlignment="1" applyProtection="1">
      <alignment horizontal="left" vertical="center"/>
    </xf>
    <xf numFmtId="0" fontId="2" fillId="21" borderId="0" xfId="4" applyFill="1" applyProtection="1">
      <alignment horizontal="right" vertical="center" indent="1"/>
    </xf>
    <xf numFmtId="0" fontId="9" fillId="0" borderId="0" xfId="0" applyFont="1" applyProtection="1">
      <alignment horizontal="left" vertical="center"/>
    </xf>
    <xf numFmtId="49" fontId="2" fillId="10" borderId="0" xfId="19" applyNumberFormat="1" applyFont="1" applyAlignment="1" applyProtection="1">
      <alignment horizontal="center" vertical="center"/>
    </xf>
    <xf numFmtId="164" fontId="2" fillId="0" borderId="0" xfId="24" applyNumberFormat="1" applyFont="1" applyFill="1" applyAlignment="1" applyProtection="1">
      <alignment horizontal="center" vertical="center"/>
    </xf>
    <xf numFmtId="0" fontId="1" fillId="0" borderId="0" xfId="21" applyFill="1" applyAlignment="1" applyProtection="1">
      <alignment horizontal="left" vertical="center"/>
    </xf>
    <xf numFmtId="0" fontId="0" fillId="21" borderId="0" xfId="0" applyFill="1" applyAlignment="1">
      <alignment horizontal="left" vertical="center"/>
    </xf>
    <xf numFmtId="0" fontId="2" fillId="21" borderId="0" xfId="23" applyFont="1" applyFill="1" applyAlignment="1" applyProtection="1">
      <alignment horizontal="left" vertical="center"/>
    </xf>
    <xf numFmtId="0" fontId="10" fillId="22" borderId="0" xfId="23" applyFont="1" applyFill="1" applyAlignment="1" applyProtection="1">
      <alignment horizontal="center" vertical="center"/>
    </xf>
    <xf numFmtId="164" fontId="2" fillId="0" borderId="0" xfId="8" applyNumberFormat="1" applyFont="1" applyFill="1" applyAlignment="1" applyProtection="1">
      <alignment horizontal="center" vertical="center"/>
    </xf>
    <xf numFmtId="0" fontId="2" fillId="2" borderId="0" xfId="21" applyFont="1" applyAlignment="1" applyProtection="1">
      <alignment horizontal="left" vertical="center"/>
    </xf>
    <xf numFmtId="164" fontId="2" fillId="25" borderId="0" xfId="8" applyNumberFormat="1" applyFont="1" applyFill="1" applyAlignment="1" applyProtection="1">
      <alignment horizontal="center" vertical="center"/>
    </xf>
    <xf numFmtId="164" fontId="11" fillId="24" borderId="0" xfId="24" applyNumberFormat="1" applyFont="1" applyFill="1" applyAlignment="1" applyProtection="1">
      <alignment horizontal="center" vertical="center"/>
    </xf>
    <xf numFmtId="0" fontId="6" fillId="0" borderId="0" xfId="3" applyFill="1" applyProtection="1">
      <alignment horizontal="center" vertical="center"/>
    </xf>
    <xf numFmtId="0" fontId="6" fillId="23" borderId="0" xfId="3" applyFill="1" applyProtection="1">
      <alignment horizontal="center" vertical="center"/>
    </xf>
    <xf numFmtId="0" fontId="0" fillId="23" borderId="0" xfId="0" applyFill="1">
      <alignment horizontal="left" vertical="center"/>
    </xf>
    <xf numFmtId="0" fontId="1" fillId="23" borderId="0" xfId="26" applyFill="1" applyBorder="1">
      <alignment horizontal="left" vertical="center" wrapText="1" indent="2"/>
    </xf>
    <xf numFmtId="0" fontId="14" fillId="23" borderId="7" xfId="3" applyFont="1" applyFill="1" applyBorder="1" applyProtection="1">
      <alignment horizontal="center" vertical="center"/>
    </xf>
    <xf numFmtId="0" fontId="14" fillId="23" borderId="2" xfId="21" applyFont="1" applyFill="1" applyBorder="1" applyAlignment="1" applyProtection="1">
      <alignment horizontal="center" vertical="center"/>
    </xf>
    <xf numFmtId="0" fontId="14" fillId="23" borderId="1" xfId="0" applyFont="1" applyFill="1" applyBorder="1" applyAlignment="1">
      <alignment horizontal="center" vertical="center"/>
    </xf>
    <xf numFmtId="0" fontId="15" fillId="23" borderId="2" xfId="0" applyFont="1" applyFill="1" applyBorder="1" applyAlignment="1">
      <alignment horizontal="center" vertical="center"/>
    </xf>
    <xf numFmtId="0" fontId="16" fillId="0" borderId="4" xfId="0" applyFont="1" applyFill="1" applyBorder="1" applyAlignment="1">
      <alignment horizontal="center" vertical="center"/>
    </xf>
    <xf numFmtId="12" fontId="12" fillId="0" borderId="0" xfId="0" applyNumberFormat="1" applyFont="1" applyFill="1" applyBorder="1" applyAlignment="1" applyProtection="1">
      <alignment horizontal="center" vertical="center"/>
    </xf>
    <xf numFmtId="0" fontId="12" fillId="27" borderId="6" xfId="0" applyFont="1" applyFill="1" applyBorder="1" applyAlignment="1" applyProtection="1">
      <alignment horizontal="center" vertical="center"/>
    </xf>
    <xf numFmtId="0" fontId="13" fillId="26" borderId="0" xfId="0" applyFont="1" applyFill="1" applyBorder="1" applyAlignment="1" applyProtection="1">
      <alignment horizontal="center" vertical="center"/>
    </xf>
    <xf numFmtId="0" fontId="2" fillId="26" borderId="0" xfId="21" applyFont="1" applyFill="1" applyBorder="1" applyAlignment="1" applyProtection="1">
      <alignment horizontal="left" vertical="center" indent="1"/>
    </xf>
    <xf numFmtId="0" fontId="16" fillId="0" borderId="3" xfId="0" applyFont="1" applyFill="1" applyBorder="1" applyAlignment="1">
      <alignment horizontal="center" vertical="center"/>
    </xf>
    <xf numFmtId="0" fontId="16" fillId="0" borderId="5" xfId="0" applyFont="1" applyFill="1" applyBorder="1" applyAlignment="1">
      <alignment horizontal="center" vertical="center"/>
    </xf>
    <xf numFmtId="165" fontId="16" fillId="0" borderId="4" xfId="25" applyNumberFormat="1" applyFont="1" applyFill="1" applyBorder="1" applyProtection="1">
      <alignment horizontal="center" vertical="center"/>
    </xf>
    <xf numFmtId="165" fontId="16" fillId="0" borderId="3" xfId="25" applyNumberFormat="1" applyFont="1" applyFill="1" applyBorder="1" applyProtection="1">
      <alignment horizontal="center" vertical="center"/>
    </xf>
    <xf numFmtId="165" fontId="16" fillId="0" borderId="5" xfId="25" applyNumberFormat="1" applyFont="1" applyFill="1" applyBorder="1" applyProtection="1">
      <alignment horizontal="center" vertical="center"/>
    </xf>
    <xf numFmtId="0" fontId="6" fillId="23" borderId="0" xfId="3" applyFill="1" applyProtection="1">
      <alignment horizontal="center" vertical="center"/>
    </xf>
    <xf numFmtId="0" fontId="1" fillId="0" borderId="0" xfId="21" applyFill="1" applyAlignment="1" applyProtection="1">
      <alignment horizontal="left" vertical="center"/>
    </xf>
    <xf numFmtId="0" fontId="2" fillId="2" borderId="0" xfId="21" applyFont="1" applyAlignment="1" applyProtection="1">
      <alignment horizontal="left" vertical="center"/>
    </xf>
    <xf numFmtId="0" fontId="2" fillId="0" borderId="0" xfId="0" applyFont="1" applyAlignment="1">
      <alignment horizontal="left" vertical="center"/>
    </xf>
    <xf numFmtId="49" fontId="2" fillId="21" borderId="0" xfId="19" applyNumberFormat="1" applyFont="1" applyFill="1" applyAlignment="1" applyProtection="1">
      <alignment horizontal="left" vertical="center"/>
    </xf>
    <xf numFmtId="0" fontId="0" fillId="0" borderId="0" xfId="0" applyAlignment="1">
      <alignment horizontal="left" vertical="center"/>
    </xf>
    <xf numFmtId="164" fontId="2" fillId="21" borderId="0" xfId="8" applyNumberFormat="1" applyFont="1" applyFill="1" applyAlignment="1" applyProtection="1">
      <alignment horizontal="left" vertical="center"/>
    </xf>
    <xf numFmtId="0" fontId="6" fillId="2" borderId="0" xfId="3" applyProtection="1">
      <alignment horizontal="center" vertical="center"/>
    </xf>
    <xf numFmtId="0" fontId="12" fillId="28" borderId="6" xfId="0" applyFont="1" applyFill="1" applyBorder="1" applyAlignment="1" applyProtection="1">
      <alignment horizontal="center" vertical="center"/>
    </xf>
    <xf numFmtId="0" fontId="13" fillId="28" borderId="0" xfId="0" applyFont="1" applyFill="1" applyBorder="1" applyAlignment="1" applyProtection="1">
      <alignment horizontal="center" vertical="center"/>
    </xf>
    <xf numFmtId="12" fontId="12" fillId="28" borderId="0" xfId="0" applyNumberFormat="1" applyFont="1" applyFill="1" applyBorder="1" applyAlignment="1" applyProtection="1">
      <alignment horizontal="center" vertical="center"/>
    </xf>
  </cellXfs>
  <cellStyles count="28">
    <cellStyle name="20% - Accent1" xfId="15" builtinId="30" customBuiltin="1"/>
    <cellStyle name="20% - Accent3" xfId="21" builtinId="38" customBuiltin="1"/>
    <cellStyle name="20% - Accent4" xfId="7" builtinId="42" customBuiltin="1"/>
    <cellStyle name="20% - Accent6" xfId="11" builtinId="50" customBuiltin="1"/>
    <cellStyle name="40% - Accent1" xfId="16" builtinId="31" customBuiltin="1"/>
    <cellStyle name="40% - Accent2" xfId="19" builtinId="35" customBuiltin="1"/>
    <cellStyle name="40% - Accent3" xfId="22" builtinId="39" customBuiltin="1"/>
    <cellStyle name="40% - Accent4" xfId="8" builtinId="43" customBuiltin="1"/>
    <cellStyle name="40% - Accent5" xfId="24" builtinId="47" customBuiltin="1"/>
    <cellStyle name="40% - Accent6" xfId="12" builtinId="51" customBuiltin="1"/>
    <cellStyle name="60% - Accent1" xfId="17" builtinId="32" customBuiltin="1"/>
    <cellStyle name="60% - Accent3" xfId="23" builtinId="40" customBuiltin="1"/>
    <cellStyle name="60% - Accent4" xfId="9" builtinId="44" customBuiltin="1"/>
    <cellStyle name="60% - Accent6" xfId="13" builtinId="52" customBuiltin="1"/>
    <cellStyle name="Accent1" xfId="14" builtinId="29" customBuiltin="1"/>
    <cellStyle name="Accent2" xfId="18" builtinId="33" customBuiltin="1"/>
    <cellStyle name="Accent3" xfId="20" builtinId="37" customBuiltin="1"/>
    <cellStyle name="Accent4" xfId="6" builtinId="41" customBuiltin="1"/>
    <cellStyle name="Accent6" xfId="10" builtinId="49" customBuiltin="1"/>
    <cellStyle name="Etiket" xfId="27"/>
    <cellStyle name="Kop 1" xfId="2" builtinId="16" customBuiltin="1"/>
    <cellStyle name="Kop 2" xfId="3" builtinId="17" customBuiltin="1"/>
    <cellStyle name="Kop 3" xfId="4" builtinId="18" customBuiltin="1"/>
    <cellStyle name="Kop 4" xfId="5" builtinId="19" customBuiltin="1"/>
    <cellStyle name="Standaard" xfId="0" builtinId="0" customBuiltin="1"/>
    <cellStyle name="Titel" xfId="1" builtinId="15" customBuiltin="1"/>
    <cellStyle name="Totaal" xfId="25" builtinId="25" customBuiltin="1"/>
    <cellStyle name="Werknemer" xfId="26"/>
  </cellStyles>
  <dxfs count="1032">
    <dxf>
      <font>
        <b/>
        <i val="0"/>
        <strike val="0"/>
        <condense val="0"/>
        <extend val="0"/>
        <outline val="0"/>
        <shadow val="0"/>
        <u val="none"/>
        <vertAlign val="baseline"/>
        <sz val="12"/>
        <color theme="1"/>
        <name val="Calibri"/>
        <family val="2"/>
        <scheme val="minor"/>
      </font>
      <numFmt numFmtId="17" formatCode="#\ ?/?"/>
      <fill>
        <patternFill patternType="none">
          <fgColor indexed="64"/>
          <bgColor theme="6" tint="0.39997558519241921"/>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theme="6" tint="0.39997558519241921"/>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theme="6" tint="0.39997558519241921"/>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theme="6" tint="0.39997558519241921"/>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theme="6" tint="0.39997558519241921"/>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theme="6" tint="0.39997558519241921"/>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theme="6" tint="0.39997558519241921"/>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theme="6" tint="0.39997558519241921"/>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theme="6" tint="0.3999755851924192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rgb="FF9C0006"/>
      </font>
      <fill>
        <patternFill>
          <bgColor rgb="FFFFC7CE"/>
        </patternFill>
      </fill>
    </dxf>
    <dxf>
      <font>
        <b/>
        <i val="0"/>
        <strike val="0"/>
        <color rgb="FFFFFF00"/>
      </font>
      <fill>
        <patternFill>
          <bgColor rgb="FFFF0000"/>
        </patternFill>
      </fill>
    </dxf>
    <dxf>
      <font>
        <color rgb="FF006100"/>
      </font>
      <fill>
        <patternFill>
          <bgColor rgb="FFC6EFCE"/>
        </patternFill>
      </fill>
    </dxf>
    <dxf>
      <fill>
        <patternFill>
          <bgColor theme="6" tint="0.39994506668294322"/>
        </patternFill>
      </fill>
    </dxf>
    <dxf>
      <fill>
        <patternFill>
          <bgColor theme="6" tint="0.39994506668294322"/>
        </patternFill>
      </fill>
    </dxf>
    <dxf>
      <font>
        <color rgb="FF9C0006"/>
      </font>
      <fill>
        <patternFill>
          <bgColor rgb="FFFFC7CE"/>
        </patternFill>
      </fill>
    </dxf>
    <dxf>
      <font>
        <b/>
        <i val="0"/>
        <color rgb="FFFFFF00"/>
      </font>
    </dxf>
    <dxf>
      <font>
        <color rgb="FF9C0006"/>
      </font>
      <fill>
        <patternFill>
          <bgColor rgb="FFFFC7CE"/>
        </patternFill>
      </fill>
    </dxf>
    <dxf>
      <font>
        <color rgb="FF9C5700"/>
      </font>
      <fill>
        <patternFill>
          <bgColor rgb="FFFFEB9C"/>
        </patternFill>
      </fill>
    </dxf>
    <dxf>
      <fill>
        <patternFill>
          <bgColor theme="6" tint="0.39994506668294322"/>
        </patternFill>
      </fill>
    </dxf>
    <dxf>
      <font>
        <strike val="0"/>
      </font>
      <fill>
        <patternFill>
          <bgColor theme="6" tint="0.39994506668294322"/>
        </patternFill>
      </fill>
    </dxf>
    <dxf>
      <font>
        <color theme="1"/>
      </font>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rgb="FF9C0006"/>
      </font>
      <fill>
        <patternFill>
          <bgColor rgb="FFFFC7CE"/>
        </patternFill>
      </fill>
    </dxf>
    <dxf>
      <font>
        <b/>
        <i val="0"/>
        <strike val="0"/>
        <color rgb="FFFFFF00"/>
      </font>
      <fill>
        <patternFill>
          <bgColor rgb="FFFF0000"/>
        </patternFill>
      </fill>
    </dxf>
    <dxf>
      <font>
        <color rgb="FF006100"/>
      </font>
      <fill>
        <patternFill>
          <bgColor rgb="FFC6EFCE"/>
        </patternFill>
      </fill>
    </dxf>
    <dxf>
      <fill>
        <patternFill>
          <bgColor theme="6" tint="0.39994506668294322"/>
        </patternFill>
      </fill>
    </dxf>
    <dxf>
      <fill>
        <patternFill>
          <bgColor theme="6" tint="0.39994506668294322"/>
        </patternFill>
      </fill>
    </dxf>
    <dxf>
      <font>
        <color rgb="FF9C0006"/>
      </font>
      <fill>
        <patternFill>
          <bgColor rgb="FFFFC7CE"/>
        </patternFill>
      </fill>
    </dxf>
    <dxf>
      <font>
        <b/>
        <i val="0"/>
        <color rgb="FFFFFF00"/>
      </font>
    </dxf>
    <dxf>
      <font>
        <color rgb="FF9C0006"/>
      </font>
      <fill>
        <patternFill>
          <bgColor rgb="FFFFC7CE"/>
        </patternFill>
      </fill>
    </dxf>
    <dxf>
      <font>
        <color rgb="FF9C5700"/>
      </font>
      <fill>
        <patternFill>
          <bgColor rgb="FFFFEB9C"/>
        </patternFill>
      </fill>
    </dxf>
    <dxf>
      <fill>
        <patternFill>
          <bgColor theme="6" tint="0.39994506668294322"/>
        </patternFill>
      </fill>
    </dxf>
    <dxf>
      <font>
        <strike val="0"/>
      </font>
      <fill>
        <patternFill>
          <bgColor theme="6" tint="0.39994506668294322"/>
        </patternFill>
      </fill>
    </dxf>
    <dxf>
      <font>
        <color theme="1"/>
      </font>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rgb="FF9C0006"/>
      </font>
      <fill>
        <patternFill>
          <bgColor rgb="FFFFC7CE"/>
        </patternFill>
      </fill>
    </dxf>
    <dxf>
      <font>
        <b/>
        <i val="0"/>
        <strike val="0"/>
        <color rgb="FFFFFF00"/>
      </font>
      <fill>
        <patternFill>
          <bgColor rgb="FFFF0000"/>
        </patternFill>
      </fill>
    </dxf>
    <dxf>
      <font>
        <color rgb="FF006100"/>
      </font>
      <fill>
        <patternFill>
          <bgColor rgb="FFC6EFCE"/>
        </patternFill>
      </fill>
    </dxf>
    <dxf>
      <fill>
        <patternFill>
          <bgColor theme="6" tint="0.39994506668294322"/>
        </patternFill>
      </fill>
    </dxf>
    <dxf>
      <fill>
        <patternFill>
          <bgColor theme="6" tint="0.39994506668294322"/>
        </patternFill>
      </fill>
    </dxf>
    <dxf>
      <font>
        <color rgb="FF9C0006"/>
      </font>
      <fill>
        <patternFill>
          <bgColor rgb="FFFFC7CE"/>
        </patternFill>
      </fill>
    </dxf>
    <dxf>
      <font>
        <b/>
        <i val="0"/>
        <color rgb="FFFFFF00"/>
      </font>
    </dxf>
    <dxf>
      <font>
        <color rgb="FF9C0006"/>
      </font>
      <fill>
        <patternFill>
          <bgColor rgb="FFFFC7CE"/>
        </patternFill>
      </fill>
    </dxf>
    <dxf>
      <font>
        <color rgb="FF9C5700"/>
      </font>
      <fill>
        <patternFill>
          <bgColor rgb="FFFFEB9C"/>
        </patternFill>
      </fill>
    </dxf>
    <dxf>
      <fill>
        <patternFill>
          <bgColor theme="6" tint="0.39994506668294322"/>
        </patternFill>
      </fill>
    </dxf>
    <dxf>
      <font>
        <strike val="0"/>
      </font>
      <fill>
        <patternFill>
          <bgColor theme="6" tint="0.39994506668294322"/>
        </patternFill>
      </fill>
    </dxf>
    <dxf>
      <font>
        <color theme="1"/>
      </font>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rgb="FF9C0006"/>
      </font>
      <fill>
        <patternFill>
          <bgColor rgb="FFFFC7CE"/>
        </patternFill>
      </fill>
    </dxf>
    <dxf>
      <font>
        <b/>
        <i val="0"/>
        <strike val="0"/>
        <color rgb="FFFFFF00"/>
      </font>
      <fill>
        <patternFill>
          <bgColor rgb="FFFF0000"/>
        </patternFill>
      </fill>
    </dxf>
    <dxf>
      <font>
        <color rgb="FF006100"/>
      </font>
      <fill>
        <patternFill>
          <bgColor rgb="FFC6EFCE"/>
        </patternFill>
      </fill>
    </dxf>
    <dxf>
      <fill>
        <patternFill>
          <bgColor theme="6" tint="0.39994506668294322"/>
        </patternFill>
      </fill>
    </dxf>
    <dxf>
      <fill>
        <patternFill>
          <bgColor theme="6" tint="0.39994506668294322"/>
        </patternFill>
      </fill>
    </dxf>
    <dxf>
      <font>
        <color rgb="FF9C0006"/>
      </font>
      <fill>
        <patternFill>
          <bgColor rgb="FFFFC7CE"/>
        </patternFill>
      </fill>
    </dxf>
    <dxf>
      <font>
        <b/>
        <i val="0"/>
        <color rgb="FFFFFF00"/>
      </font>
    </dxf>
    <dxf>
      <font>
        <color rgb="FF9C0006"/>
      </font>
      <fill>
        <patternFill>
          <bgColor rgb="FFFFC7CE"/>
        </patternFill>
      </fill>
    </dxf>
    <dxf>
      <font>
        <color rgb="FF9C5700"/>
      </font>
      <fill>
        <patternFill>
          <bgColor rgb="FFFFEB9C"/>
        </patternFill>
      </fill>
    </dxf>
    <dxf>
      <fill>
        <patternFill>
          <bgColor theme="6" tint="0.39994506668294322"/>
        </patternFill>
      </fill>
    </dxf>
    <dxf>
      <font>
        <strike val="0"/>
      </font>
      <fill>
        <patternFill>
          <bgColor theme="6" tint="0.39994506668294322"/>
        </patternFill>
      </fill>
    </dxf>
    <dxf>
      <font>
        <color theme="1"/>
      </font>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rgb="FF9C0006"/>
      </font>
      <fill>
        <patternFill>
          <bgColor rgb="FFFFC7CE"/>
        </patternFill>
      </fill>
    </dxf>
    <dxf>
      <font>
        <b/>
        <i val="0"/>
        <strike val="0"/>
        <color rgb="FFFFFF00"/>
      </font>
      <fill>
        <patternFill>
          <bgColor rgb="FFFF0000"/>
        </patternFill>
      </fill>
    </dxf>
    <dxf>
      <font>
        <color rgb="FF006100"/>
      </font>
      <fill>
        <patternFill>
          <bgColor rgb="FFC6EFCE"/>
        </patternFill>
      </fill>
    </dxf>
    <dxf>
      <fill>
        <patternFill>
          <bgColor theme="6" tint="0.39994506668294322"/>
        </patternFill>
      </fill>
    </dxf>
    <dxf>
      <fill>
        <patternFill>
          <bgColor theme="6" tint="0.39994506668294322"/>
        </patternFill>
      </fill>
    </dxf>
    <dxf>
      <font>
        <color rgb="FF9C0006"/>
      </font>
      <fill>
        <patternFill>
          <bgColor rgb="FFFFC7CE"/>
        </patternFill>
      </fill>
    </dxf>
    <dxf>
      <font>
        <b/>
        <i val="0"/>
        <color rgb="FFFFFF00"/>
      </font>
    </dxf>
    <dxf>
      <font>
        <color rgb="FF9C0006"/>
      </font>
      <fill>
        <patternFill>
          <bgColor rgb="FFFFC7CE"/>
        </patternFill>
      </fill>
    </dxf>
    <dxf>
      <font>
        <color rgb="FF9C5700"/>
      </font>
      <fill>
        <patternFill>
          <bgColor rgb="FFFFEB9C"/>
        </patternFill>
      </fill>
    </dxf>
    <dxf>
      <fill>
        <patternFill>
          <bgColor theme="6" tint="0.39994506668294322"/>
        </patternFill>
      </fill>
    </dxf>
    <dxf>
      <font>
        <strike val="0"/>
      </font>
      <fill>
        <patternFill>
          <bgColor theme="6" tint="0.39994506668294322"/>
        </patternFill>
      </fill>
    </dxf>
    <dxf>
      <font>
        <color theme="1"/>
      </font>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rgb="FF9C0006"/>
      </font>
      <fill>
        <patternFill>
          <bgColor rgb="FFFFC7CE"/>
        </patternFill>
      </fill>
    </dxf>
    <dxf>
      <font>
        <b/>
        <i val="0"/>
        <strike val="0"/>
        <color rgb="FFFFFF00"/>
      </font>
      <fill>
        <patternFill>
          <bgColor rgb="FFFF0000"/>
        </patternFill>
      </fill>
    </dxf>
    <dxf>
      <font>
        <color rgb="FF006100"/>
      </font>
      <fill>
        <patternFill>
          <bgColor rgb="FFC6EFCE"/>
        </patternFill>
      </fill>
    </dxf>
    <dxf>
      <fill>
        <patternFill>
          <bgColor theme="6" tint="0.39994506668294322"/>
        </patternFill>
      </fill>
    </dxf>
    <dxf>
      <fill>
        <patternFill>
          <bgColor theme="6" tint="0.39994506668294322"/>
        </patternFill>
      </fill>
    </dxf>
    <dxf>
      <font>
        <color rgb="FF9C0006"/>
      </font>
      <fill>
        <patternFill>
          <bgColor rgb="FFFFC7CE"/>
        </patternFill>
      </fill>
    </dxf>
    <dxf>
      <font>
        <b/>
        <i val="0"/>
        <color rgb="FFFFFF00"/>
      </font>
    </dxf>
    <dxf>
      <font>
        <color rgb="FF9C0006"/>
      </font>
      <fill>
        <patternFill>
          <bgColor rgb="FFFFC7CE"/>
        </patternFill>
      </fill>
    </dxf>
    <dxf>
      <font>
        <color rgb="FF9C5700"/>
      </font>
      <fill>
        <patternFill>
          <bgColor rgb="FFFFEB9C"/>
        </patternFill>
      </fill>
    </dxf>
    <dxf>
      <fill>
        <patternFill>
          <bgColor theme="6" tint="0.39994506668294322"/>
        </patternFill>
      </fill>
    </dxf>
    <dxf>
      <font>
        <strike val="0"/>
      </font>
      <fill>
        <patternFill>
          <bgColor theme="6" tint="0.39994506668294322"/>
        </patternFill>
      </fill>
    </dxf>
    <dxf>
      <font>
        <color theme="1"/>
      </font>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rgb="FF9C0006"/>
      </font>
      <fill>
        <patternFill>
          <bgColor rgb="FFFFC7CE"/>
        </patternFill>
      </fill>
    </dxf>
    <dxf>
      <font>
        <b/>
        <i val="0"/>
        <strike val="0"/>
        <color rgb="FFFFFF00"/>
      </font>
      <fill>
        <patternFill>
          <bgColor rgb="FFFF0000"/>
        </patternFill>
      </fill>
    </dxf>
    <dxf>
      <font>
        <color rgb="FF006100"/>
      </font>
      <fill>
        <patternFill>
          <bgColor rgb="FFC6EFCE"/>
        </patternFill>
      </fill>
    </dxf>
    <dxf>
      <fill>
        <patternFill>
          <bgColor theme="6" tint="0.39994506668294322"/>
        </patternFill>
      </fill>
    </dxf>
    <dxf>
      <fill>
        <patternFill>
          <bgColor theme="6" tint="0.39994506668294322"/>
        </patternFill>
      </fill>
    </dxf>
    <dxf>
      <font>
        <color rgb="FF9C0006"/>
      </font>
      <fill>
        <patternFill>
          <bgColor rgb="FFFFC7CE"/>
        </patternFill>
      </fill>
    </dxf>
    <dxf>
      <font>
        <b/>
        <i val="0"/>
        <color rgb="FFFFFF00"/>
      </font>
    </dxf>
    <dxf>
      <font>
        <color rgb="FF9C0006"/>
      </font>
      <fill>
        <patternFill>
          <bgColor rgb="FFFFC7CE"/>
        </patternFill>
      </fill>
    </dxf>
    <dxf>
      <font>
        <color rgb="FF9C5700"/>
      </font>
      <fill>
        <patternFill>
          <bgColor rgb="FFFFEB9C"/>
        </patternFill>
      </fill>
    </dxf>
    <dxf>
      <fill>
        <patternFill>
          <bgColor theme="6" tint="0.39994506668294322"/>
        </patternFill>
      </fill>
    </dxf>
    <dxf>
      <font>
        <strike val="0"/>
      </font>
      <fill>
        <patternFill>
          <bgColor theme="6" tint="0.39994506668294322"/>
        </patternFill>
      </fill>
    </dxf>
    <dxf>
      <font>
        <color theme="1"/>
      </font>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rgb="FF9C0006"/>
      </font>
      <fill>
        <patternFill>
          <bgColor rgb="FFFFC7CE"/>
        </patternFill>
      </fill>
    </dxf>
    <dxf>
      <font>
        <b/>
        <i val="0"/>
        <strike val="0"/>
        <color rgb="FFFFFF00"/>
      </font>
      <fill>
        <patternFill>
          <bgColor rgb="FFFF0000"/>
        </patternFill>
      </fill>
    </dxf>
    <dxf>
      <font>
        <color rgb="FF006100"/>
      </font>
      <fill>
        <patternFill>
          <bgColor rgb="FFC6EFCE"/>
        </patternFill>
      </fill>
    </dxf>
    <dxf>
      <fill>
        <patternFill>
          <bgColor theme="6" tint="0.39994506668294322"/>
        </patternFill>
      </fill>
    </dxf>
    <dxf>
      <fill>
        <patternFill>
          <bgColor theme="6" tint="0.39994506668294322"/>
        </patternFill>
      </fill>
    </dxf>
    <dxf>
      <font>
        <color rgb="FF9C0006"/>
      </font>
      <fill>
        <patternFill>
          <bgColor rgb="FFFFC7CE"/>
        </patternFill>
      </fill>
    </dxf>
    <dxf>
      <font>
        <b/>
        <i val="0"/>
        <color rgb="FFFFFF00"/>
      </font>
    </dxf>
    <dxf>
      <font>
        <color rgb="FF9C0006"/>
      </font>
      <fill>
        <patternFill>
          <bgColor rgb="FFFFC7CE"/>
        </patternFill>
      </fill>
    </dxf>
    <dxf>
      <font>
        <color rgb="FF9C5700"/>
      </font>
      <fill>
        <patternFill>
          <bgColor rgb="FFFFEB9C"/>
        </patternFill>
      </fill>
    </dxf>
    <dxf>
      <fill>
        <patternFill>
          <bgColor theme="6" tint="0.39994506668294322"/>
        </patternFill>
      </fill>
    </dxf>
    <dxf>
      <font>
        <strike val="0"/>
      </font>
      <fill>
        <patternFill>
          <bgColor theme="6" tint="0.39994506668294322"/>
        </patternFill>
      </fill>
    </dxf>
    <dxf>
      <font>
        <color theme="1"/>
      </font>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rgb="FF9C0006"/>
      </font>
      <fill>
        <patternFill>
          <bgColor rgb="FFFFC7CE"/>
        </patternFill>
      </fill>
    </dxf>
    <dxf>
      <font>
        <b/>
        <i val="0"/>
        <strike val="0"/>
        <color rgb="FFFFFF00"/>
      </font>
      <fill>
        <patternFill>
          <bgColor rgb="FFFF0000"/>
        </patternFill>
      </fill>
    </dxf>
    <dxf>
      <font>
        <color rgb="FF006100"/>
      </font>
      <fill>
        <patternFill>
          <bgColor rgb="FFC6EFCE"/>
        </patternFill>
      </fill>
    </dxf>
    <dxf>
      <fill>
        <patternFill>
          <bgColor theme="6" tint="0.39994506668294322"/>
        </patternFill>
      </fill>
    </dxf>
    <dxf>
      <fill>
        <patternFill>
          <bgColor theme="6" tint="0.39994506668294322"/>
        </patternFill>
      </fill>
    </dxf>
    <dxf>
      <font>
        <color rgb="FF9C0006"/>
      </font>
      <fill>
        <patternFill>
          <bgColor rgb="FFFFC7CE"/>
        </patternFill>
      </fill>
    </dxf>
    <dxf>
      <font>
        <b/>
        <i val="0"/>
        <color rgb="FFFFFF00"/>
      </font>
    </dxf>
    <dxf>
      <font>
        <color rgb="FF9C0006"/>
      </font>
      <fill>
        <patternFill>
          <bgColor rgb="FFFFC7CE"/>
        </patternFill>
      </fill>
    </dxf>
    <dxf>
      <font>
        <color rgb="FF9C5700"/>
      </font>
      <fill>
        <patternFill>
          <bgColor rgb="FFFFEB9C"/>
        </patternFill>
      </fill>
    </dxf>
    <dxf>
      <fill>
        <patternFill>
          <bgColor theme="6" tint="0.39994506668294322"/>
        </patternFill>
      </fill>
    </dxf>
    <dxf>
      <font>
        <strike val="0"/>
      </font>
      <fill>
        <patternFill>
          <bgColor theme="6" tint="0.39994506668294322"/>
        </patternFill>
      </fill>
    </dxf>
    <dxf>
      <font>
        <color theme="1"/>
      </font>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rgb="FF9C0006"/>
      </font>
      <fill>
        <patternFill>
          <bgColor rgb="FFFFC7CE"/>
        </patternFill>
      </fill>
    </dxf>
    <dxf>
      <font>
        <b/>
        <i val="0"/>
        <strike val="0"/>
        <color rgb="FFFFFF00"/>
      </font>
      <fill>
        <patternFill>
          <bgColor rgb="FFFF0000"/>
        </patternFill>
      </fill>
    </dxf>
    <dxf>
      <font>
        <color rgb="FF006100"/>
      </font>
      <fill>
        <patternFill>
          <bgColor rgb="FFC6EFCE"/>
        </patternFill>
      </fill>
    </dxf>
    <dxf>
      <fill>
        <patternFill>
          <bgColor theme="6" tint="0.39994506668294322"/>
        </patternFill>
      </fill>
    </dxf>
    <dxf>
      <fill>
        <patternFill>
          <bgColor theme="6" tint="0.39994506668294322"/>
        </patternFill>
      </fill>
    </dxf>
    <dxf>
      <font>
        <color rgb="FF9C0006"/>
      </font>
      <fill>
        <patternFill>
          <bgColor rgb="FFFFC7CE"/>
        </patternFill>
      </fill>
    </dxf>
    <dxf>
      <font>
        <b/>
        <i val="0"/>
        <color rgb="FFFFFF00"/>
      </font>
    </dxf>
    <dxf>
      <font>
        <color rgb="FF9C0006"/>
      </font>
      <fill>
        <patternFill>
          <bgColor rgb="FFFFC7CE"/>
        </patternFill>
      </fill>
    </dxf>
    <dxf>
      <font>
        <color rgb="FF9C5700"/>
      </font>
      <fill>
        <patternFill>
          <bgColor rgb="FFFFEB9C"/>
        </patternFill>
      </fill>
    </dxf>
    <dxf>
      <fill>
        <patternFill>
          <bgColor theme="6" tint="0.39994506668294322"/>
        </patternFill>
      </fill>
    </dxf>
    <dxf>
      <font>
        <strike val="0"/>
      </font>
      <fill>
        <patternFill>
          <bgColor theme="6" tint="0.39994506668294322"/>
        </patternFill>
      </fill>
    </dxf>
    <dxf>
      <font>
        <color theme="1"/>
      </font>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fill>
        <patternFill patternType="none">
          <fgColor indexed="64"/>
          <bgColor indexed="65"/>
        </patternFill>
      </fill>
      <protection locked="1" hidden="0"/>
    </dxf>
    <dxf>
      <protection locked="1" hidden="0"/>
    </dxf>
    <dxf>
      <protection locked="1" hidden="0"/>
    </dxf>
    <dxf>
      <protection locked="1" hidden="0"/>
    </dxf>
    <dxf>
      <font>
        <color rgb="FF9C0006"/>
      </font>
      <fill>
        <patternFill>
          <bgColor rgb="FFFFC7CE"/>
        </patternFill>
      </fill>
    </dxf>
    <dxf>
      <font>
        <b/>
        <i val="0"/>
        <strike val="0"/>
        <color rgb="FFFFFF00"/>
      </font>
      <fill>
        <patternFill>
          <bgColor rgb="FFFF0000"/>
        </patternFill>
      </fill>
    </dxf>
    <dxf>
      <font>
        <color rgb="FF006100"/>
      </font>
      <fill>
        <patternFill>
          <bgColor rgb="FFC6EFCE"/>
        </patternFill>
      </fill>
    </dxf>
    <dxf>
      <fill>
        <patternFill>
          <bgColor theme="6" tint="0.39994506668294322"/>
        </patternFill>
      </fill>
    </dxf>
    <dxf>
      <fill>
        <patternFill>
          <bgColor theme="6" tint="0.39994506668294322"/>
        </patternFill>
      </fill>
    </dxf>
    <dxf>
      <font>
        <color rgb="FF9C0006"/>
      </font>
      <fill>
        <patternFill>
          <bgColor rgb="FFFFC7CE"/>
        </patternFill>
      </fill>
    </dxf>
    <dxf>
      <font>
        <b/>
        <i val="0"/>
        <color rgb="FFFFFF00"/>
      </font>
    </dxf>
    <dxf>
      <font>
        <color rgb="FF9C0006"/>
      </font>
      <fill>
        <patternFill>
          <bgColor rgb="FFFFC7CE"/>
        </patternFill>
      </fill>
    </dxf>
    <dxf>
      <font>
        <color rgb="FF9C5700"/>
      </font>
      <fill>
        <patternFill>
          <bgColor rgb="FFFFEB9C"/>
        </patternFill>
      </fill>
    </dxf>
    <dxf>
      <fill>
        <patternFill>
          <bgColor theme="6" tint="0.39994506668294322"/>
        </patternFill>
      </fill>
    </dxf>
    <dxf>
      <font>
        <strike val="0"/>
      </font>
      <fill>
        <patternFill>
          <bgColor theme="6" tint="0.39994506668294322"/>
        </patternFill>
      </fill>
    </dxf>
    <dxf>
      <font>
        <color theme="1"/>
      </font>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color theme="0"/>
      </font>
      <border>
        <vertical/>
        <horizontal/>
      </border>
    </dxf>
    <dxf>
      <font>
        <b val="0"/>
        <i val="0"/>
        <color theme="3"/>
      </font>
      <border>
        <vertical/>
        <horizontal/>
      </border>
    </dxf>
    <dxf>
      <font>
        <strike val="0"/>
        <outline val="0"/>
        <shadow val="0"/>
        <u val="none"/>
        <vertAlign val="baseline"/>
        <sz val="14"/>
        <color theme="1"/>
        <name val="Calibri"/>
        <family val="2"/>
        <scheme val="minor"/>
      </font>
      <numFmt numFmtId="165" formatCode="0.0"/>
      <fill>
        <patternFill patternType="none">
          <fgColor indexed="64"/>
          <bgColor auto="1"/>
        </patternFill>
      </fill>
      <border diagonalUp="0" diagonalDown="0">
        <left style="medium">
          <color auto="1"/>
        </left>
        <right style="medium">
          <color auto="1"/>
        </right>
        <top style="thin">
          <color auto="1"/>
        </top>
        <bottom style="thin">
          <color auto="1"/>
        </bottom>
      </border>
    </dxf>
    <dxf>
      <font>
        <b/>
        <i val="0"/>
        <strike val="0"/>
        <condense val="0"/>
        <extend val="0"/>
        <outline val="0"/>
        <shadow val="0"/>
        <u val="none"/>
        <vertAlign val="baseline"/>
        <sz val="12"/>
        <color theme="1"/>
        <name val="Calibri"/>
        <family val="2"/>
        <scheme val="minor"/>
      </font>
      <numFmt numFmtId="17" formatCode="#\ ?/?"/>
      <fill>
        <patternFill patternType="none">
          <fgColor indexed="64"/>
          <bgColor indexed="65"/>
        </patternFill>
      </fill>
      <alignment horizontal="center" vertical="center" textRotation="0" wrapText="0" indent="0" justifyLastLine="0" shrinkToFit="0" readingOrder="0"/>
      <border outline="0">
        <left/>
        <right style="medium">
          <color auto="1"/>
        </right>
      </border>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indexed="65"/>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indexed="65"/>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indexed="65"/>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indexed="65"/>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indexed="65"/>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indexed="65"/>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indexed="65"/>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indexed="65"/>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indexed="65"/>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indexed="65"/>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indexed="65"/>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indexed="65"/>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indexed="65"/>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indexed="65"/>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indexed="65"/>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indexed="65"/>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indexed="65"/>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indexed="65"/>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indexed="65"/>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indexed="65"/>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numFmt numFmtId="17" formatCode="#\ ?/?"/>
      <fill>
        <patternFill patternType="none">
          <fgColor indexed="64"/>
          <bgColor indexed="65"/>
        </patternFill>
      </fill>
      <alignment horizontal="center" vertical="center" textRotation="0" wrapText="0" indent="0" justifyLastLine="0" shrinkToFit="0" readingOrder="0"/>
      <protection locked="1" hidden="0"/>
    </dxf>
    <dxf>
      <alignment horizontal="left" vertical="center" textRotation="0" wrapText="0" indent="1" justifyLastLine="0" shrinkToFit="0" readingOrder="0"/>
      <border diagonalUp="0" diagonalDown="0">
        <left/>
        <right/>
        <top/>
        <bottom/>
      </border>
      <protection locked="1" hidden="0"/>
    </dxf>
    <dxf>
      <fill>
        <patternFill patternType="solid">
          <fgColor indexed="64"/>
          <bgColor theme="6" tint="0.59999389629810485"/>
        </patternFill>
      </fill>
    </dxf>
    <dxf>
      <protection locked="1" hidden="0"/>
    </dxf>
    <dxf>
      <protection locked="1" hidden="0"/>
    </dxf>
    <dxf>
      <protection locked="1" hidden="0"/>
    </dxf>
    <dxf>
      <font>
        <b/>
        <i val="0"/>
        <strike val="0"/>
      </font>
      <fill>
        <patternFill>
          <bgColor theme="7" tint="0.59996337778862885"/>
        </patternFill>
      </fill>
    </dxf>
    <dxf>
      <font>
        <b/>
        <i val="0"/>
        <strike/>
      </font>
      <fill>
        <patternFill>
          <bgColor rgb="FF00B0F0"/>
        </patternFill>
      </fill>
    </dxf>
    <dxf>
      <font>
        <strike val="0"/>
        <color rgb="FFFFFF00"/>
      </font>
      <fill>
        <patternFill>
          <bgColor rgb="FFFF0000"/>
        </patternFill>
      </fill>
    </dxf>
    <dxf>
      <font>
        <color rgb="FF9C0006"/>
      </font>
      <fill>
        <patternFill>
          <bgColor rgb="FFFFC7CE"/>
        </patternFill>
      </fill>
    </dxf>
    <dxf>
      <font>
        <b/>
        <i val="0"/>
        <strike val="0"/>
        <color rgb="FFFFFF00"/>
      </font>
      <fill>
        <patternFill>
          <bgColor rgb="FFFF0000"/>
        </patternFill>
      </fill>
    </dxf>
    <dxf>
      <font>
        <color rgb="FF006100"/>
      </font>
      <fill>
        <patternFill>
          <bgColor rgb="FFC6EFCE"/>
        </patternFill>
      </fill>
    </dxf>
    <dxf>
      <fill>
        <patternFill>
          <bgColor theme="6" tint="0.39994506668294322"/>
        </patternFill>
      </fill>
    </dxf>
    <dxf>
      <fill>
        <patternFill>
          <bgColor theme="6" tint="0.39994506668294322"/>
        </patternFill>
      </fill>
    </dxf>
    <dxf>
      <font>
        <color rgb="FF9C0006"/>
      </font>
      <fill>
        <patternFill>
          <bgColor rgb="FFFFC7CE"/>
        </patternFill>
      </fill>
    </dxf>
    <dxf>
      <fill>
        <patternFill>
          <bgColor theme="6" tint="-0.24994659260841701"/>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0"/>
        </patternFill>
      </fill>
    </dxf>
    <dxf>
      <font>
        <b/>
        <i val="0"/>
        <color rgb="FFFFFF00"/>
      </font>
    </dxf>
    <dxf>
      <font>
        <color rgb="FF9C0006"/>
      </font>
      <fill>
        <patternFill>
          <bgColor rgb="FFFFC7CE"/>
        </patternFill>
      </fill>
    </dxf>
    <dxf>
      <font>
        <color rgb="FF9C5700"/>
      </font>
      <fill>
        <patternFill>
          <bgColor rgb="FFFFEB9C"/>
        </patternFill>
      </fill>
    </dxf>
    <dxf>
      <fill>
        <patternFill>
          <bgColor theme="6" tint="0.39994506668294322"/>
        </patternFill>
      </fill>
    </dxf>
    <dxf>
      <font>
        <strike val="0"/>
      </font>
      <fill>
        <patternFill>
          <bgColor theme="6" tint="0.39994506668294322"/>
        </patternFill>
      </fill>
    </dxf>
    <dxf>
      <font>
        <color theme="1"/>
      </font>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i val="0"/>
        <color auto="1"/>
      </font>
      <fill>
        <patternFill>
          <bgColor rgb="FFFFFF00"/>
        </patternFill>
      </fill>
    </dxf>
    <dxf>
      <fill>
        <patternFill>
          <bgColor theme="6" tint="0.39994506668294322"/>
        </patternFill>
      </fill>
    </dxf>
    <dxf>
      <font>
        <color rgb="FF9C5700"/>
      </font>
      <fill>
        <patternFill>
          <bgColor rgb="FFFFEB9C"/>
        </patternFill>
      </fill>
    </dxf>
    <dxf>
      <font>
        <color rgb="FF9C0006"/>
      </font>
      <fill>
        <patternFill>
          <bgColor rgb="FFFFC7CE"/>
        </patternFill>
      </fill>
    </dxf>
    <dxf>
      <font>
        <b/>
        <i val="0"/>
      </font>
    </dxf>
    <dxf>
      <fill>
        <patternFill>
          <bgColor theme="5" tint="0.59996337778862885"/>
        </patternFill>
      </fill>
    </dxf>
    <dxf>
      <font>
        <b/>
        <i val="0"/>
        <color theme="1"/>
      </font>
      <fill>
        <patternFill>
          <bgColor theme="6" tint="0.39994506668294322"/>
        </patternFill>
      </fill>
    </dxf>
    <dxf>
      <font>
        <b/>
        <i val="0"/>
      </font>
      <fill>
        <patternFill>
          <bgColor theme="6" tint="0.39994506668294322"/>
        </patternFill>
      </fill>
    </dxf>
    <dxf>
      <fill>
        <patternFill>
          <bgColor theme="6" tint="0.39994506668294322"/>
        </patternFill>
      </fill>
    </dxf>
    <dxf>
      <fill>
        <patternFill patternType="solid">
          <bgColor theme="6" tint="0.79998168889431442"/>
        </patternFill>
      </fill>
      <border diagonalUp="0" diagonalDown="0">
        <left/>
        <right/>
        <top style="thin">
          <color theme="0" tint="-0.14996795556505021"/>
        </top>
        <bottom style="medium">
          <color theme="2" tint="-0.499984740745262"/>
        </bottom>
        <vertical/>
        <horizontal/>
      </border>
    </dxf>
    <dxf>
      <font>
        <color theme="1"/>
      </font>
      <fill>
        <patternFill patternType="solid">
          <bgColor theme="6" tint="0.79998168889431442"/>
        </patternFill>
      </fill>
      <border diagonalUp="0" diagonalDown="0">
        <left/>
        <right/>
        <top style="thin">
          <color theme="0" tint="-0.14993743705557422"/>
        </top>
        <bottom style="medium">
          <color theme="2" tint="-0.499984740745262"/>
        </bottom>
        <vertical/>
        <horizontal style="thin">
          <color theme="0" tint="-0.14993743705557422"/>
        </horizontal>
      </border>
    </dxf>
    <dxf>
      <font>
        <color theme="1"/>
      </font>
      <fill>
        <patternFill patternType="solid">
          <bgColor theme="2"/>
        </patternFill>
      </fill>
      <border diagonalUp="0" diagonalDown="0">
        <left/>
        <right/>
        <top/>
        <bottom style="thin">
          <color theme="0" tint="-0.14996795556505021"/>
        </bottom>
        <vertical/>
        <horizontal/>
      </border>
    </dxf>
    <dxf>
      <font>
        <color theme="1"/>
      </font>
      <fill>
        <patternFill patternType="none">
          <bgColor auto="1"/>
        </patternFill>
      </fill>
      <border diagonalUp="0" diagonalDown="0">
        <left/>
        <right/>
        <top style="thin">
          <color theme="0" tint="-0.14996795556505021"/>
        </top>
        <bottom style="thin">
          <color theme="0" tint="-0.14993743705557422"/>
        </bottom>
        <vertical/>
        <horizontal/>
      </border>
    </dxf>
    <dxf>
      <fill>
        <patternFill>
          <bgColor theme="0" tint="-0.14996795556505021"/>
        </patternFill>
      </fill>
      <border>
        <left style="thin">
          <color theme="0"/>
        </left>
        <right style="thin">
          <color theme="0"/>
        </right>
        <vertical style="thin">
          <color theme="0"/>
        </vertical>
      </border>
    </dxf>
    <dxf>
      <fill>
        <patternFill>
          <bgColor theme="0" tint="-4.9989318521683403E-2"/>
        </patternFill>
      </fill>
      <border>
        <left style="thin">
          <color theme="0"/>
        </left>
        <right style="thin">
          <color theme="0"/>
        </right>
        <vertical style="thin">
          <color theme="0"/>
        </vertical>
      </border>
    </dxf>
    <dxf>
      <fill>
        <patternFill>
          <bgColor theme="0" tint="-0.14996795556505021"/>
        </patternFill>
      </fill>
    </dxf>
    <dxf>
      <fill>
        <patternFill patternType="solid">
          <fgColor theme="4" tint="0.79992065187536243"/>
          <bgColor theme="0" tint="-4.9989318521683403E-2"/>
        </patternFill>
      </fill>
    </dxf>
    <dxf>
      <font>
        <color theme="1"/>
      </font>
      <fill>
        <patternFill patternType="none">
          <bgColor auto="1"/>
        </patternFill>
      </fill>
      <border diagonalUp="0" diagonalDown="0">
        <left/>
        <right/>
        <top/>
        <bottom style="thin">
          <color theme="0" tint="-0.14996795556505021"/>
        </bottom>
        <vertical/>
        <horizontal style="thin">
          <color theme="0" tint="-0.14996795556505021"/>
        </horizontal>
      </border>
    </dxf>
    <dxf>
      <font>
        <color theme="1"/>
      </font>
      <fill>
        <patternFill patternType="none">
          <bgColor auto="1"/>
        </patternFill>
      </fill>
      <border>
        <left/>
        <right/>
        <top style="thin">
          <color theme="2" tint="-9.9917600024414813E-2"/>
        </top>
        <bottom style="thin">
          <color theme="2" tint="-9.9948118533890809E-2"/>
        </bottom>
        <vertical/>
        <horizontal style="thin">
          <color theme="2" tint="-9.9917600024414813E-2"/>
        </horizontal>
      </border>
    </dxf>
    <dxf>
      <font>
        <color theme="1"/>
      </font>
      <fill>
        <patternFill>
          <bgColor theme="6" tint="0.79998168889431442"/>
        </patternFill>
      </fill>
      <border diagonalUp="0" diagonalDown="0">
        <left style="thin">
          <color theme="0"/>
        </left>
        <right style="thin">
          <color theme="0"/>
        </right>
        <top/>
        <bottom style="medium">
          <color theme="2" tint="-0.499984740745262"/>
        </bottom>
        <vertical style="thin">
          <color theme="0"/>
        </vertical>
        <horizontal/>
      </border>
    </dxf>
    <dxf>
      <font>
        <color theme="0"/>
      </font>
      <fill>
        <patternFill>
          <bgColor theme="3"/>
        </patternFill>
      </fill>
    </dxf>
    <dxf>
      <font>
        <color theme="1"/>
      </font>
      <border diagonalUp="0" diagonalDown="0">
        <left/>
        <right/>
        <top/>
        <bottom/>
        <vertical style="thin">
          <color theme="0"/>
        </vertical>
        <horizontal/>
      </border>
    </dxf>
  </dxfs>
  <tableStyles count="1" defaultTableStyle="Werknemersafwezigheidstabel" defaultPivotStyle="PivotStyleLight16">
    <tableStyle name="Werknemersafwezigheidstabel" pivot="0" count="13">
      <tableStyleElement type="wholeTable" dxfId="1031"/>
      <tableStyleElement type="headerRow" dxfId="1030"/>
      <tableStyleElement type="totalRow" dxfId="1029"/>
      <tableStyleElement type="firstColumn" dxfId="1028"/>
      <tableStyleElement type="lastColumn" dxfId="1027"/>
      <tableStyleElement type="firstRowStripe" dxfId="1026"/>
      <tableStyleElement type="secondRowStripe" dxfId="1025"/>
      <tableStyleElement type="firstColumnStripe" dxfId="1024"/>
      <tableStyleElement type="secondColumnStripe" dxfId="1023"/>
      <tableStyleElement type="firstHeaderCell" dxfId="1022"/>
      <tableStyleElement type="lastHeaderCell" dxfId="1021"/>
      <tableStyleElement type="firstTotalCell" dxfId="1020"/>
      <tableStyleElement type="lastTotalCell" dxfId="10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3" name="Januari" displayName="Januari" ref="B6:AH11" totalsRowShown="0" headerRowDxfId="984" dataDxfId="983" totalsRowDxfId="982">
  <autoFilter ref="B6:AH1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name="Naam van werknemer" dataDxfId="981" totalsRowDxfId="980"/>
    <tableColumn id="2" name="1" dataDxfId="0"/>
    <tableColumn id="3" name="2" dataDxfId="979"/>
    <tableColumn id="4" name="3" dataDxfId="978"/>
    <tableColumn id="5" name="4" dataDxfId="977"/>
    <tableColumn id="6" name="5" dataDxfId="976"/>
    <tableColumn id="7" name="6" dataDxfId="975"/>
    <tableColumn id="8" name="7" dataDxfId="8"/>
    <tableColumn id="9" name="8" dataDxfId="7"/>
    <tableColumn id="10" name="9" dataDxfId="974"/>
    <tableColumn id="11" name="10" dataDxfId="973"/>
    <tableColumn id="12" name="11" dataDxfId="972"/>
    <tableColumn id="13" name="12" dataDxfId="971"/>
    <tableColumn id="14" name="13" dataDxfId="970"/>
    <tableColumn id="15" name="14" dataDxfId="6"/>
    <tableColumn id="16" name="15" dataDxfId="5"/>
    <tableColumn id="17" name="16" dataDxfId="969"/>
    <tableColumn id="18" name="17" dataDxfId="968"/>
    <tableColumn id="19" name="18" dataDxfId="967"/>
    <tableColumn id="20" name="19" dataDxfId="966"/>
    <tableColumn id="21" name="20" dataDxfId="965"/>
    <tableColumn id="22" name="21" dataDxfId="4"/>
    <tableColumn id="23" name="22" dataDxfId="3"/>
    <tableColumn id="24" name="23" dataDxfId="964"/>
    <tableColumn id="25" name="24" dataDxfId="963"/>
    <tableColumn id="26" name="25" dataDxfId="962"/>
    <tableColumn id="27" name="26" dataDxfId="961"/>
    <tableColumn id="28" name="27" dataDxfId="960"/>
    <tableColumn id="29" name="28" dataDxfId="2"/>
    <tableColumn id="30" name="29" dataDxfId="1"/>
    <tableColumn id="31" name="30" dataDxfId="959"/>
    <tableColumn id="32" name="31" dataDxfId="958"/>
    <tableColumn id="33" name="dagen verlof" dataDxfId="957">
      <calculatedColumnFormula>COUNTA(Januari!$C7:$AG7)-COUNT(Januari!$C7:$AG7)+(COUNTIF(Januari!$C7:$AG7,"&lt;1")/2)-COUNTIF(Januari!$C7:$AG7,"W")-COUNTIF(Januari!$C7:$AG7,"Z")-COUNTIF(Januari!$C7:$AG7,"R")</calculatedColumnFormula>
    </tableColumn>
  </tableColumns>
  <tableStyleInfo name="Werknemersafwezigheidstabel" showFirstColumn="1" showLastColumn="1" showRowStripes="1" showColumnStripes="0"/>
  <extLst>
    <ext xmlns:x14="http://schemas.microsoft.com/office/spreadsheetml/2009/9/main" uri="{504A1905-F514-4f6f-8877-14C23A59335A}">
      <x14:table altTextSummary="Geef de namen van werknemers en datums van afwezigheid aan. Neem het type afwezigheid volgens de sleutel op in rij 12: V = vakantie, Z = ziekte, P = persoonlijk en twee tijdelijke aanduidingen voor aangepaste vermeldingen"/>
    </ext>
  </extLst>
</table>
</file>

<file path=xl/tables/table10.xml><?xml version="1.0" encoding="utf-8"?>
<table xmlns="http://schemas.openxmlformats.org/spreadsheetml/2006/main" id="21" name="Oktober" displayName="Oktober" ref="B6:AH12" totalsRowCount="1" headerRowDxfId="249" dataDxfId="248" totalsRowDxfId="247">
  <tableColumns count="33">
    <tableColumn id="1" name="Naam van werknemer" totalsRowFunction="custom" dataDxfId="246" totalsRowDxfId="245" dataCellStyle="Werknemer">
      <totalsRowFormula>MonthName&amp;" totaal"</totalsRowFormula>
    </tableColumn>
    <tableColumn id="2" name="1" totalsRowFunction="count" dataDxfId="244" totalsRowDxfId="243"/>
    <tableColumn id="3" name="2" totalsRowFunction="count" dataDxfId="242" totalsRowDxfId="241"/>
    <tableColumn id="4" name="3" totalsRowFunction="count" dataDxfId="240" totalsRowDxfId="239"/>
    <tableColumn id="5" name="4" totalsRowFunction="count" dataDxfId="238" totalsRowDxfId="237"/>
    <tableColumn id="6" name="5" totalsRowFunction="count" dataDxfId="236" totalsRowDxfId="235"/>
    <tableColumn id="7" name="6" totalsRowFunction="count" dataDxfId="234" totalsRowDxfId="233"/>
    <tableColumn id="8" name="7" totalsRowFunction="count" dataDxfId="232" totalsRowDxfId="231"/>
    <tableColumn id="9" name="8" totalsRowFunction="count" dataDxfId="230" totalsRowDxfId="229"/>
    <tableColumn id="10" name="9" totalsRowFunction="count" dataDxfId="228" totalsRowDxfId="227"/>
    <tableColumn id="11" name="10" totalsRowFunction="count" dataDxfId="226" totalsRowDxfId="225"/>
    <tableColumn id="12" name="11" totalsRowFunction="count" dataDxfId="224" totalsRowDxfId="223"/>
    <tableColumn id="13" name="12" totalsRowFunction="count" dataDxfId="222" totalsRowDxfId="221"/>
    <tableColumn id="14" name="13" totalsRowFunction="count" dataDxfId="220" totalsRowDxfId="219"/>
    <tableColumn id="15" name="14" totalsRowFunction="count" dataDxfId="218" totalsRowDxfId="217"/>
    <tableColumn id="16" name="15" totalsRowFunction="count" dataDxfId="216" totalsRowDxfId="215"/>
    <tableColumn id="17" name="16" totalsRowFunction="count" dataDxfId="214" totalsRowDxfId="213"/>
    <tableColumn id="18" name="17" totalsRowFunction="count" dataDxfId="212" totalsRowDxfId="211"/>
    <tableColumn id="19" name="18" totalsRowFunction="count" dataDxfId="210" totalsRowDxfId="209"/>
    <tableColumn id="20" name="19" totalsRowFunction="count" dataDxfId="208" totalsRowDxfId="207"/>
    <tableColumn id="21" name="20" totalsRowFunction="count" dataDxfId="206" totalsRowDxfId="205"/>
    <tableColumn id="22" name="21" totalsRowFunction="count" dataDxfId="204" totalsRowDxfId="203"/>
    <tableColumn id="23" name="22" totalsRowFunction="count" dataDxfId="202" totalsRowDxfId="201"/>
    <tableColumn id="24" name="23" totalsRowFunction="count" dataDxfId="200" totalsRowDxfId="199"/>
    <tableColumn id="25" name="24" totalsRowFunction="count" dataDxfId="198" totalsRowDxfId="197"/>
    <tableColumn id="26" name="25" totalsRowFunction="count" dataDxfId="196" totalsRowDxfId="195"/>
    <tableColumn id="27" name="26" totalsRowFunction="count" dataDxfId="194" totalsRowDxfId="193"/>
    <tableColumn id="28" name="27" totalsRowFunction="count" dataDxfId="192" totalsRowDxfId="191"/>
    <tableColumn id="29" name="28" totalsRowFunction="count" dataDxfId="190" totalsRowDxfId="189"/>
    <tableColumn id="30" name="29" totalsRowFunction="count" dataDxfId="188" totalsRowDxfId="187"/>
    <tableColumn id="31" name="30" totalsRowFunction="sum" dataDxfId="186" totalsRowDxfId="185"/>
    <tableColumn id="32" name="31" totalsRowFunction="sum" dataDxfId="184" totalsRowDxfId="183"/>
    <tableColumn id="33" name="Totaal aantal dagen" totalsRowFunction="sum" dataDxfId="182" totalsRowDxfId="181">
      <calculatedColumnFormula>COUNTA(Oktober[[#This Row],[1]:[31]])</calculatedColumnFormula>
    </tableColumn>
  </tableColumns>
  <tableStyleInfo name="Werknemersafwezigheidstabel" showFirstColumn="1" showLastColumn="1" showRowStripes="1" showColumnStripes="0"/>
  <extLst>
    <ext xmlns:x14="http://schemas.microsoft.com/office/spreadsheetml/2009/9/main" uri="{504A1905-F514-4f6f-8877-14C23A59335A}">
      <x14:table altTextSummary="Geef de namen van werknemers en datums van afwezigheid aan. Neem het type afwezigheid volgens de sleutel op in rij 12: V = vakantie, Z = ziekte, P = persoonlijk en twee tijdelijke aanduidingen voor aangepaste vermeldingen"/>
    </ext>
  </extLst>
</table>
</file>

<file path=xl/tables/table11.xml><?xml version="1.0" encoding="utf-8"?>
<table xmlns="http://schemas.openxmlformats.org/spreadsheetml/2006/main" id="22" name="November" displayName="November" ref="B6:AH12" totalsRowCount="1" headerRowDxfId="163" dataDxfId="162" totalsRowDxfId="161">
  <tableColumns count="33">
    <tableColumn id="1" name="Naam van werknemer" totalsRowFunction="custom" dataDxfId="160" totalsRowDxfId="159" dataCellStyle="Werknemer">
      <totalsRowFormula>MonthName&amp;" totaal"</totalsRowFormula>
    </tableColumn>
    <tableColumn id="2" name="1" totalsRowFunction="count" dataDxfId="158" totalsRowDxfId="157"/>
    <tableColumn id="3" name="2" totalsRowFunction="count" dataDxfId="156" totalsRowDxfId="155"/>
    <tableColumn id="4" name="3" totalsRowFunction="count" dataDxfId="154" totalsRowDxfId="153"/>
    <tableColumn id="5" name="4" totalsRowFunction="count" dataDxfId="152" totalsRowDxfId="151"/>
    <tableColumn id="6" name="5" totalsRowFunction="count" dataDxfId="150" totalsRowDxfId="149"/>
    <tableColumn id="7" name="6" totalsRowFunction="count" dataDxfId="148" totalsRowDxfId="147"/>
    <tableColumn id="8" name="7" totalsRowFunction="count" dataDxfId="146" totalsRowDxfId="145"/>
    <tableColumn id="9" name="8" totalsRowFunction="count" dataDxfId="144" totalsRowDxfId="143"/>
    <tableColumn id="10" name="9" totalsRowFunction="count" dataDxfId="142" totalsRowDxfId="141"/>
    <tableColumn id="11" name="10" totalsRowFunction="count" dataDxfId="140" totalsRowDxfId="139"/>
    <tableColumn id="12" name="11" totalsRowFunction="count" dataDxfId="138" totalsRowDxfId="137"/>
    <tableColumn id="13" name="12" totalsRowFunction="count" dataDxfId="136" totalsRowDxfId="135"/>
    <tableColumn id="14" name="13" totalsRowFunction="count" dataDxfId="134" totalsRowDxfId="133"/>
    <tableColumn id="15" name="14" totalsRowFunction="count" dataDxfId="132" totalsRowDxfId="131"/>
    <tableColumn id="16" name="15" totalsRowFunction="count" dataDxfId="130" totalsRowDxfId="129"/>
    <tableColumn id="17" name="16" totalsRowFunction="count" dataDxfId="128" totalsRowDxfId="127"/>
    <tableColumn id="18" name="17" totalsRowFunction="count" dataDxfId="126" totalsRowDxfId="125"/>
    <tableColumn id="19" name="18" totalsRowFunction="count" dataDxfId="124" totalsRowDxfId="123"/>
    <tableColumn id="20" name="19" totalsRowFunction="count" dataDxfId="122" totalsRowDxfId="121"/>
    <tableColumn id="21" name="20" totalsRowFunction="count" dataDxfId="120" totalsRowDxfId="119"/>
    <tableColumn id="22" name="21" totalsRowFunction="count" dataDxfId="118" totalsRowDxfId="117"/>
    <tableColumn id="23" name="22" totalsRowFunction="count" dataDxfId="116" totalsRowDxfId="115"/>
    <tableColumn id="24" name="23" totalsRowFunction="count" dataDxfId="114" totalsRowDxfId="113"/>
    <tableColumn id="25" name="24" totalsRowFunction="count" dataDxfId="112" totalsRowDxfId="111"/>
    <tableColumn id="26" name="25" totalsRowFunction="count" dataDxfId="110" totalsRowDxfId="109"/>
    <tableColumn id="27" name="26" totalsRowFunction="count" dataDxfId="108" totalsRowDxfId="107"/>
    <tableColumn id="28" name="27" totalsRowFunction="count" dataDxfId="106" totalsRowDxfId="105"/>
    <tableColumn id="29" name="28" totalsRowFunction="count" dataDxfId="104" totalsRowDxfId="103"/>
    <tableColumn id="30" name="29" totalsRowFunction="count" dataDxfId="102" totalsRowDxfId="101"/>
    <tableColumn id="31" name="30" totalsRowFunction="sum" dataDxfId="100" totalsRowDxfId="99"/>
    <tableColumn id="32" name="31" totalsRowFunction="sum" dataDxfId="98" totalsRowDxfId="97"/>
    <tableColumn id="33" name="Totaal aantal dagen" totalsRowFunction="sum" dataDxfId="96" totalsRowDxfId="95">
      <calculatedColumnFormula>COUNTA(November[[#This Row],[1]:[31]])</calculatedColumnFormula>
    </tableColumn>
  </tableColumns>
  <tableStyleInfo name="Werknemersafwezigheidstabel" showFirstColumn="1" showLastColumn="1" showRowStripes="1" showColumnStripes="0"/>
  <extLst>
    <ext xmlns:x14="http://schemas.microsoft.com/office/spreadsheetml/2009/9/main" uri="{504A1905-F514-4f6f-8877-14C23A59335A}">
      <x14:table altTextSummary="Geef de namen van werknemers en datums van afwezigheid aan. Neem het type afwezigheid volgens de sleutel op in rij 12: V = vakantie, Z = ziekte, P = persoonlijk en twee tijdelijke aanduidingen voor aangepaste vermeldingen"/>
    </ext>
  </extLst>
</table>
</file>

<file path=xl/tables/table12.xml><?xml version="1.0" encoding="utf-8"?>
<table xmlns="http://schemas.openxmlformats.org/spreadsheetml/2006/main" id="12" name="December" displayName="December" ref="B6:AH12" totalsRowCount="1" headerRowDxfId="77" dataDxfId="76" totalsRowDxfId="75">
  <tableColumns count="33">
    <tableColumn id="1" name="Naam van werknemer" totalsRowFunction="custom" dataDxfId="74" totalsRowDxfId="73" dataCellStyle="Werknemer">
      <totalsRowFormula>MonthName&amp;" totaal"</totalsRowFormula>
    </tableColumn>
    <tableColumn id="2" name="1" totalsRowFunction="count" dataDxfId="72" totalsRowDxfId="71"/>
    <tableColumn id="3" name="2" totalsRowFunction="count" dataDxfId="70" totalsRowDxfId="69"/>
    <tableColumn id="4" name="3" totalsRowFunction="count" dataDxfId="68" totalsRowDxfId="67"/>
    <tableColumn id="5" name="4" totalsRowFunction="count" dataDxfId="66" totalsRowDxfId="65"/>
    <tableColumn id="6" name="5" totalsRowFunction="count" dataDxfId="64" totalsRowDxfId="63"/>
    <tableColumn id="7" name="6" totalsRowFunction="count" dataDxfId="62" totalsRowDxfId="61"/>
    <tableColumn id="8" name="7" totalsRowFunction="count" dataDxfId="60" totalsRowDxfId="59"/>
    <tableColumn id="9" name="8" totalsRowFunction="count" dataDxfId="58" totalsRowDxfId="57"/>
    <tableColumn id="10" name="9" totalsRowFunction="count" dataDxfId="56" totalsRowDxfId="55"/>
    <tableColumn id="11" name="10" totalsRowFunction="count" dataDxfId="54" totalsRowDxfId="53"/>
    <tableColumn id="12" name="11" totalsRowFunction="count" dataDxfId="52" totalsRowDxfId="51"/>
    <tableColumn id="13" name="12" totalsRowFunction="count" dataDxfId="50" totalsRowDxfId="49"/>
    <tableColumn id="14" name="13" totalsRowFunction="count" dataDxfId="48" totalsRowDxfId="47"/>
    <tableColumn id="15" name="14" totalsRowFunction="count" dataDxfId="46" totalsRowDxfId="45"/>
    <tableColumn id="16" name="15" totalsRowFunction="count" dataDxfId="44" totalsRowDxfId="43"/>
    <tableColumn id="17" name="16" totalsRowFunction="count" dataDxfId="42" totalsRowDxfId="41"/>
    <tableColumn id="18" name="17" totalsRowFunction="count" dataDxfId="40" totalsRowDxfId="39"/>
    <tableColumn id="19" name="18" totalsRowFunction="count" dataDxfId="38" totalsRowDxfId="37"/>
    <tableColumn id="20" name="19" totalsRowFunction="count" dataDxfId="36" totalsRowDxfId="35"/>
    <tableColumn id="21" name="20" totalsRowFunction="count" dataDxfId="34" totalsRowDxfId="33"/>
    <tableColumn id="22" name="21" totalsRowFunction="count" dataDxfId="32" totalsRowDxfId="31"/>
    <tableColumn id="23" name="22" totalsRowFunction="count" dataDxfId="30" totalsRowDxfId="29"/>
    <tableColumn id="24" name="23" totalsRowFunction="count" dataDxfId="28" totalsRowDxfId="27"/>
    <tableColumn id="25" name="24" totalsRowFunction="count" dataDxfId="26" totalsRowDxfId="25"/>
    <tableColumn id="26" name="25" totalsRowFunction="count" dataDxfId="24" totalsRowDxfId="23"/>
    <tableColumn id="27" name="26" totalsRowFunction="count" dataDxfId="22" totalsRowDxfId="21"/>
    <tableColumn id="28" name="27" totalsRowFunction="count" dataDxfId="20" totalsRowDxfId="19"/>
    <tableColumn id="29" name="28" totalsRowFunction="count" dataDxfId="18" totalsRowDxfId="17"/>
    <tableColumn id="30" name="29" totalsRowFunction="count" dataDxfId="16" totalsRowDxfId="15"/>
    <tableColumn id="31" name="30" totalsRowFunction="sum" dataDxfId="14" totalsRowDxfId="13"/>
    <tableColumn id="32" name="31" totalsRowFunction="sum" dataDxfId="12" totalsRowDxfId="11"/>
    <tableColumn id="33" name="Totaal aantal dagen" totalsRowFunction="sum" dataDxfId="10" totalsRowDxfId="9">
      <calculatedColumnFormula>COUNTA(December[[#This Row],[1]:[31]])</calculatedColumnFormula>
    </tableColumn>
  </tableColumns>
  <tableStyleInfo name="Werknemersafwezigheidstabel" showFirstColumn="1" showLastColumn="1" showRowStripes="1" showColumnStripes="0"/>
  <extLst>
    <ext xmlns:x14="http://schemas.microsoft.com/office/spreadsheetml/2009/9/main" uri="{504A1905-F514-4f6f-8877-14C23A59335A}">
      <x14:table altTextSummary="Biedt een lijst met namen en kalenderdatums om de afwezigheid van werknemers en specifiek afwezigheidstype vast te leggen, zoals V = vakantie, Z = ziek, P = persoonlijk en twee tijdelijke aanduidingen voor aangepaste vermeldingen"/>
    </ext>
  </extLst>
</table>
</file>

<file path=xl/tables/table13.xml><?xml version="1.0" encoding="utf-8"?>
<table xmlns="http://schemas.openxmlformats.org/spreadsheetml/2006/main" id="13" name="NaamVanWerknemer" displayName="NaamVanWerknemer" ref="B3:B8" totalsRowShown="0" dataCellStyle="Werknemer">
  <autoFilter ref="B3:B8"/>
  <tableColumns count="1">
    <tableColumn id="1" name="Werknemersnamen" dataCellStyle="Werknemer"/>
  </tableColumns>
  <tableStyleInfo name="Werknemersafwezigheidstabel" showFirstColumn="1" showLastColumn="1" showRowStripes="1" showColumnStripes="0"/>
  <extLst>
    <ext xmlns:x14="http://schemas.microsoft.com/office/spreadsheetml/2009/9/main" uri="{504A1905-F514-4f6f-8877-14C23A59335A}">
      <x14:table altTextSummary="Voer de werknemersnamen in deze tabel in. Deze namen worden gebruikt als optie in kolom B van de afwezigheidsplanning van elke maand"/>
    </ext>
  </extLst>
</table>
</file>

<file path=xl/tables/table2.xml><?xml version="1.0" encoding="utf-8"?>
<table xmlns="http://schemas.openxmlformats.org/spreadsheetml/2006/main" id="2" name="Februari" displayName="Februari" ref="B6:AH11" totalsRowShown="0" headerRowDxfId="937" dataDxfId="936" totalsRowDxfId="935">
  <tableColumns count="33">
    <tableColumn id="1" name="Naam van werknemer" dataDxfId="934" totalsRowDxfId="933" dataCellStyle="Werknemer"/>
    <tableColumn id="2" name="1" dataDxfId="932" totalsRowDxfId="931"/>
    <tableColumn id="3" name="2" dataDxfId="930" totalsRowDxfId="929"/>
    <tableColumn id="4" name="3" dataDxfId="928" totalsRowDxfId="927"/>
    <tableColumn id="5" name="4" dataDxfId="926" totalsRowDxfId="925"/>
    <tableColumn id="6" name="5" dataDxfId="924" totalsRowDxfId="923"/>
    <tableColumn id="7" name="6" dataDxfId="922" totalsRowDxfId="921"/>
    <tableColumn id="8" name="7" dataDxfId="920" totalsRowDxfId="919"/>
    <tableColumn id="9" name="8" dataDxfId="918" totalsRowDxfId="917"/>
    <tableColumn id="10" name="9" dataDxfId="916" totalsRowDxfId="915"/>
    <tableColumn id="11" name="10" dataDxfId="914" totalsRowDxfId="913"/>
    <tableColumn id="12" name="11" dataDxfId="912" totalsRowDxfId="911"/>
    <tableColumn id="13" name="12" dataDxfId="910" totalsRowDxfId="909"/>
    <tableColumn id="14" name="13" dataDxfId="908" totalsRowDxfId="907"/>
    <tableColumn id="15" name="14" dataDxfId="906" totalsRowDxfId="905"/>
    <tableColumn id="16" name="15" dataDxfId="904" totalsRowDxfId="903"/>
    <tableColumn id="17" name="16" dataDxfId="902" totalsRowDxfId="901"/>
    <tableColumn id="18" name="17" dataDxfId="900" totalsRowDxfId="899"/>
    <tableColumn id="19" name="18" dataDxfId="898" totalsRowDxfId="897"/>
    <tableColumn id="20" name="19" dataDxfId="896" totalsRowDxfId="895"/>
    <tableColumn id="21" name="20" dataDxfId="894" totalsRowDxfId="893"/>
    <tableColumn id="22" name="21" dataDxfId="892" totalsRowDxfId="891"/>
    <tableColumn id="23" name="22" dataDxfId="890" totalsRowDxfId="889"/>
    <tableColumn id="24" name="23" dataDxfId="888" totalsRowDxfId="887"/>
    <tableColumn id="25" name="24" dataDxfId="886" totalsRowDxfId="885"/>
    <tableColumn id="26" name="25" dataDxfId="884" totalsRowDxfId="883"/>
    <tableColumn id="27" name="26" dataDxfId="882" totalsRowDxfId="881"/>
    <tableColumn id="28" name="27" dataDxfId="880" totalsRowDxfId="879"/>
    <tableColumn id="29" name="28" dataDxfId="878" totalsRowDxfId="877"/>
    <tableColumn id="30" name="29" dataDxfId="876" totalsRowDxfId="875"/>
    <tableColumn id="31" name=" " dataDxfId="874" totalsRowDxfId="873"/>
    <tableColumn id="32" name="  " dataDxfId="872" totalsRowDxfId="871"/>
    <tableColumn id="33" name="Totaal aantal dagen" dataDxfId="870" totalsRowDxfId="869">
      <calculatedColumnFormula>COUNTA(Februari[[#This Row],[1]:[29]])</calculatedColumnFormula>
    </tableColumn>
  </tableColumns>
  <tableStyleInfo name="Werknemersafwezigheidstabel" showFirstColumn="1" showLastColumn="1" showRowStripes="1" showColumnStripes="0"/>
  <extLst>
    <ext xmlns:x14="http://schemas.microsoft.com/office/spreadsheetml/2009/9/main" uri="{504A1905-F514-4f6f-8877-14C23A59335A}">
      <x14:table altTextSummary="Geef de namen van werknemers en datums van afwezigheid aan. Neem het type afwezigheid volgens de sleutel op in rij 12: V = vakantie, Z = ziekte, P = persoonlijk en twee tijdelijke aanduidingen voor aangepaste vermeldingen"/>
    </ext>
  </extLst>
</table>
</file>

<file path=xl/tables/table3.xml><?xml version="1.0" encoding="utf-8"?>
<table xmlns="http://schemas.openxmlformats.org/spreadsheetml/2006/main" id="14" name="Maart" displayName="Maart" ref="B6:AH12" totalsRowCount="1" headerRowDxfId="851" dataDxfId="850" totalsRowDxfId="849">
  <tableColumns count="33">
    <tableColumn id="1" name="Naam van werknemer" totalsRowFunction="custom" dataDxfId="848" totalsRowDxfId="847" dataCellStyle="Werknemer">
      <totalsRowFormula>MonthName&amp;" totaal"</totalsRowFormula>
    </tableColumn>
    <tableColumn id="2" name="1" totalsRowFunction="count" dataDxfId="846" totalsRowDxfId="845"/>
    <tableColumn id="3" name="2" totalsRowFunction="count" dataDxfId="844" totalsRowDxfId="843"/>
    <tableColumn id="4" name="3" totalsRowFunction="count" dataDxfId="842" totalsRowDxfId="841"/>
    <tableColumn id="5" name="4" totalsRowFunction="count" dataDxfId="840" totalsRowDxfId="839"/>
    <tableColumn id="6" name="5" totalsRowFunction="count" dataDxfId="838" totalsRowDxfId="837"/>
    <tableColumn id="7" name="6" totalsRowFunction="count" dataDxfId="836" totalsRowDxfId="835"/>
    <tableColumn id="8" name="7" totalsRowFunction="count" dataDxfId="834" totalsRowDxfId="833"/>
    <tableColumn id="9" name="8" totalsRowFunction="count" dataDxfId="832" totalsRowDxfId="831"/>
    <tableColumn id="10" name="9" totalsRowFunction="count" dataDxfId="830" totalsRowDxfId="829"/>
    <tableColumn id="11" name="10" totalsRowFunction="count" dataDxfId="828" totalsRowDxfId="827"/>
    <tableColumn id="12" name="11" totalsRowFunction="count" dataDxfId="826" totalsRowDxfId="825"/>
    <tableColumn id="13" name="12" totalsRowFunction="count" dataDxfId="824" totalsRowDxfId="823"/>
    <tableColumn id="14" name="13" totalsRowFunction="count" dataDxfId="822" totalsRowDxfId="821"/>
    <tableColumn id="15" name="14" totalsRowFunction="count" dataDxfId="820" totalsRowDxfId="819"/>
    <tableColumn id="16" name="15" totalsRowFunction="count" dataDxfId="818" totalsRowDxfId="817"/>
    <tableColumn id="17" name="16" totalsRowFunction="count" dataDxfId="816" totalsRowDxfId="815"/>
    <tableColumn id="18" name="17" totalsRowFunction="count" dataDxfId="814" totalsRowDxfId="813"/>
    <tableColumn id="19" name="18" totalsRowFunction="count" dataDxfId="812" totalsRowDxfId="811"/>
    <tableColumn id="20" name="19" totalsRowFunction="count" dataDxfId="810" totalsRowDxfId="809"/>
    <tableColumn id="21" name="20" totalsRowFunction="count" dataDxfId="808" totalsRowDxfId="807"/>
    <tableColumn id="22" name="21" totalsRowFunction="count" dataDxfId="806" totalsRowDxfId="805"/>
    <tableColumn id="23" name="22" totalsRowFunction="count" dataDxfId="804" totalsRowDxfId="803"/>
    <tableColumn id="24" name="23" totalsRowFunction="count" dataDxfId="802" totalsRowDxfId="801"/>
    <tableColumn id="25" name="24" totalsRowFunction="count" dataDxfId="800" totalsRowDxfId="799"/>
    <tableColumn id="26" name="25" totalsRowFunction="count" dataDxfId="798" totalsRowDxfId="797"/>
    <tableColumn id="27" name="26" totalsRowFunction="count" dataDxfId="796" totalsRowDxfId="795"/>
    <tableColumn id="28" name="27" totalsRowFunction="count" dataDxfId="794" totalsRowDxfId="793"/>
    <tableColumn id="29" name="28" totalsRowFunction="count" dataDxfId="792" totalsRowDxfId="791"/>
    <tableColumn id="30" name="29" totalsRowFunction="count" dataDxfId="790" totalsRowDxfId="789"/>
    <tableColumn id="31" name="30" totalsRowFunction="sum" dataDxfId="788" totalsRowDxfId="787"/>
    <tableColumn id="32" name="31" totalsRowFunction="sum" dataDxfId="786" totalsRowDxfId="785"/>
    <tableColumn id="33" name="Totaal aantal dagen" totalsRowFunction="sum" dataDxfId="784" totalsRowDxfId="783">
      <calculatedColumnFormula>COUNTA(Maart[[#This Row],[1]:[31]])</calculatedColumnFormula>
    </tableColumn>
  </tableColumns>
  <tableStyleInfo name="Werknemersafwezigheidstabel" showFirstColumn="1" showLastColumn="1" showRowStripes="1" showColumnStripes="0"/>
  <extLst>
    <ext xmlns:x14="http://schemas.microsoft.com/office/spreadsheetml/2009/9/main" uri="{504A1905-F514-4f6f-8877-14C23A59335A}">
      <x14:table altTextSummary="Geef de namen van werknemers en datums van afwezigheid aan. Neem het type afwezigheid volgens de sleutel op in rij 12: V = vakantie, Z = ziekte, P = persoonlijk en twee tijdelijke aanduidingen voor aangepaste vermeldingen"/>
    </ext>
  </extLst>
</table>
</file>

<file path=xl/tables/table4.xml><?xml version="1.0" encoding="utf-8"?>
<table xmlns="http://schemas.openxmlformats.org/spreadsheetml/2006/main" id="15" name="April" displayName="April" ref="B6:AH12" totalsRowCount="1" headerRowDxfId="765" dataDxfId="764" totalsRowDxfId="763">
  <tableColumns count="33">
    <tableColumn id="1" name="Naam van werknemer" totalsRowFunction="custom" dataDxfId="762" totalsRowDxfId="761" dataCellStyle="Werknemer">
      <totalsRowFormula>MonthName&amp;" totaal"</totalsRowFormula>
    </tableColumn>
    <tableColumn id="2" name="1" totalsRowFunction="count" dataDxfId="760" totalsRowDxfId="759"/>
    <tableColumn id="3" name="2" totalsRowFunction="count" dataDxfId="758" totalsRowDxfId="757"/>
    <tableColumn id="4" name="3" totalsRowFunction="count" dataDxfId="756" totalsRowDxfId="755"/>
    <tableColumn id="5" name="4" totalsRowFunction="count" dataDxfId="754" totalsRowDxfId="753"/>
    <tableColumn id="6" name="5" totalsRowFunction="count" dataDxfId="752" totalsRowDxfId="751"/>
    <tableColumn id="7" name="6" totalsRowFunction="count" dataDxfId="750" totalsRowDxfId="749"/>
    <tableColumn id="8" name="7" totalsRowFunction="count" dataDxfId="748" totalsRowDxfId="747"/>
    <tableColumn id="9" name="8" totalsRowFunction="count" dataDxfId="746" totalsRowDxfId="745"/>
    <tableColumn id="10" name="9" totalsRowFunction="count" dataDxfId="744" totalsRowDxfId="743"/>
    <tableColumn id="11" name="10" totalsRowFunction="count" dataDxfId="742" totalsRowDxfId="741"/>
    <tableColumn id="12" name="11" totalsRowFunction="count" dataDxfId="740" totalsRowDxfId="739"/>
    <tableColumn id="13" name="12" totalsRowFunction="count" dataDxfId="738" totalsRowDxfId="737"/>
    <tableColumn id="14" name="13" totalsRowFunction="count" dataDxfId="736" totalsRowDxfId="735"/>
    <tableColumn id="15" name="14" totalsRowFunction="count" dataDxfId="734" totalsRowDxfId="733"/>
    <tableColumn id="16" name="15" totalsRowFunction="count" dataDxfId="732" totalsRowDxfId="731"/>
    <tableColumn id="17" name="16" totalsRowFunction="count" dataDxfId="730" totalsRowDxfId="729"/>
    <tableColumn id="18" name="17" totalsRowFunction="count" dataDxfId="728" totalsRowDxfId="727"/>
    <tableColumn id="19" name="18" totalsRowFunction="count" dataDxfId="726" totalsRowDxfId="725"/>
    <tableColumn id="20" name="19" totalsRowFunction="count" dataDxfId="724" totalsRowDxfId="723"/>
    <tableColumn id="21" name="20" totalsRowFunction="count" dataDxfId="722" totalsRowDxfId="721"/>
    <tableColumn id="22" name="21" totalsRowFunction="count" dataDxfId="720" totalsRowDxfId="719"/>
    <tableColumn id="23" name="22" totalsRowFunction="count" dataDxfId="718" totalsRowDxfId="717"/>
    <tableColumn id="24" name="23" totalsRowFunction="count" dataDxfId="716" totalsRowDxfId="715"/>
    <tableColumn id="25" name="24" totalsRowFunction="count" dataDxfId="714" totalsRowDxfId="713"/>
    <tableColumn id="26" name="25" totalsRowFunction="count" dataDxfId="712" totalsRowDxfId="711"/>
    <tableColumn id="27" name="26" totalsRowFunction="count" dataDxfId="710" totalsRowDxfId="709"/>
    <tableColumn id="28" name="27" totalsRowFunction="count" dataDxfId="708" totalsRowDxfId="707"/>
    <tableColumn id="29" name="28" totalsRowFunction="count" dataDxfId="706" totalsRowDxfId="705"/>
    <tableColumn id="30" name="29" totalsRowFunction="count" dataDxfId="704" totalsRowDxfId="703"/>
    <tableColumn id="31" name="30" totalsRowFunction="sum" dataDxfId="702" totalsRowDxfId="701"/>
    <tableColumn id="32" name="31" totalsRowFunction="sum" dataDxfId="700" totalsRowDxfId="699"/>
    <tableColumn id="33" name="Totaal aantal dagen" totalsRowFunction="sum" dataDxfId="698" totalsRowDxfId="697">
      <calculatedColumnFormula>COUNTA(April[[#This Row],[1]:[31]])</calculatedColumnFormula>
    </tableColumn>
  </tableColumns>
  <tableStyleInfo name="Werknemersafwezigheidstabel" showFirstColumn="1" showLastColumn="1" showRowStripes="1" showColumnStripes="0"/>
  <extLst>
    <ext xmlns:x14="http://schemas.microsoft.com/office/spreadsheetml/2009/9/main" uri="{504A1905-F514-4f6f-8877-14C23A59335A}">
      <x14:table altTextSummary="Geef de namen van werknemers en datums van afwezigheid aan. Neem het type afwezigheid volgens de sleutel op in rij 12: V = vakantie, Z = ziekte, P = persoonlijk en twee tijdelijke aanduidingen voor aangepaste vermeldingen"/>
    </ext>
  </extLst>
</table>
</file>

<file path=xl/tables/table5.xml><?xml version="1.0" encoding="utf-8"?>
<table xmlns="http://schemas.openxmlformats.org/spreadsheetml/2006/main" id="16" name="Mei" displayName="Mei" ref="B6:AH12" totalsRowCount="1" headerRowDxfId="679" dataDxfId="678" totalsRowDxfId="677">
  <tableColumns count="33">
    <tableColumn id="1" name="Naam van werknemer" totalsRowFunction="custom" dataDxfId="676" totalsRowDxfId="675" dataCellStyle="Werknemer">
      <totalsRowFormula>MonthName&amp;" totaal"</totalsRowFormula>
    </tableColumn>
    <tableColumn id="2" name="1" totalsRowFunction="count" dataDxfId="674" totalsRowDxfId="673"/>
    <tableColumn id="3" name="2" totalsRowFunction="count" dataDxfId="672" totalsRowDxfId="671"/>
    <tableColumn id="4" name="3" totalsRowFunction="count" dataDxfId="670" totalsRowDxfId="669"/>
    <tableColumn id="5" name="4" totalsRowFunction="count" dataDxfId="668" totalsRowDxfId="667"/>
    <tableColumn id="6" name="5" totalsRowFunction="count" dataDxfId="666" totalsRowDxfId="665"/>
    <tableColumn id="7" name="6" totalsRowFunction="count" dataDxfId="664" totalsRowDxfId="663"/>
    <tableColumn id="8" name="7" totalsRowFunction="count" dataDxfId="662" totalsRowDxfId="661"/>
    <tableColumn id="9" name="8" totalsRowFunction="count" dataDxfId="660" totalsRowDxfId="659"/>
    <tableColumn id="10" name="9" totalsRowFunction="count" dataDxfId="658" totalsRowDxfId="657"/>
    <tableColumn id="11" name="10" totalsRowFunction="count" dataDxfId="656" totalsRowDxfId="655"/>
    <tableColumn id="12" name="11" totalsRowFunction="count" dataDxfId="654" totalsRowDxfId="653"/>
    <tableColumn id="13" name="12" totalsRowFunction="count" dataDxfId="652" totalsRowDxfId="651"/>
    <tableColumn id="14" name="13" totalsRowFunction="count" dataDxfId="650" totalsRowDxfId="649"/>
    <tableColumn id="15" name="14" totalsRowFunction="count" dataDxfId="648" totalsRowDxfId="647"/>
    <tableColumn id="16" name="15" totalsRowFunction="count" dataDxfId="646" totalsRowDxfId="645"/>
    <tableColumn id="17" name="16" totalsRowFunction="count" dataDxfId="644" totalsRowDxfId="643"/>
    <tableColumn id="18" name="17" totalsRowFunction="count" dataDxfId="642" totalsRowDxfId="641"/>
    <tableColumn id="19" name="18" totalsRowFunction="count" dataDxfId="640" totalsRowDxfId="639"/>
    <tableColumn id="20" name="19" totalsRowFunction="count" dataDxfId="638" totalsRowDxfId="637"/>
    <tableColumn id="21" name="20" totalsRowFunction="count" dataDxfId="636" totalsRowDxfId="635"/>
    <tableColumn id="22" name="21" totalsRowFunction="count" dataDxfId="634" totalsRowDxfId="633"/>
    <tableColumn id="23" name="22" totalsRowFunction="count" dataDxfId="632" totalsRowDxfId="631"/>
    <tableColumn id="24" name="23" totalsRowFunction="count" dataDxfId="630" totalsRowDxfId="629"/>
    <tableColumn id="25" name="24" totalsRowFunction="count" dataDxfId="628" totalsRowDxfId="627"/>
    <tableColumn id="26" name="25" totalsRowFunction="count" dataDxfId="626" totalsRowDxfId="625"/>
    <tableColumn id="27" name="26" totalsRowFunction="count" dataDxfId="624" totalsRowDxfId="623"/>
    <tableColumn id="28" name="27" totalsRowFunction="count" dataDxfId="622" totalsRowDxfId="621"/>
    <tableColumn id="29" name="28" totalsRowFunction="count" dataDxfId="620" totalsRowDxfId="619"/>
    <tableColumn id="30" name="29" totalsRowFunction="count" dataDxfId="618" totalsRowDxfId="617"/>
    <tableColumn id="31" name="30" totalsRowFunction="sum" dataDxfId="616" totalsRowDxfId="615"/>
    <tableColumn id="32" name="31" totalsRowFunction="sum" dataDxfId="614" totalsRowDxfId="613"/>
    <tableColumn id="33" name="Totaal aantal dagen" totalsRowFunction="sum" dataDxfId="612" totalsRowDxfId="611">
      <calculatedColumnFormula>COUNTA(Mei[[#This Row],[1]:[31]])</calculatedColumnFormula>
    </tableColumn>
  </tableColumns>
  <tableStyleInfo name="Werknemersafwezigheidstabel" showFirstColumn="1" showLastColumn="1" showRowStripes="1" showColumnStripes="0"/>
  <extLst>
    <ext xmlns:x14="http://schemas.microsoft.com/office/spreadsheetml/2009/9/main" uri="{504A1905-F514-4f6f-8877-14C23A59335A}">
      <x14:table altTextSummary="Geef de namen van werknemers en datums van afwezigheid aan. Neem het type afwezigheid volgens de sleutel op in rij 12: V = vakantie, Z = ziekte, P = persoonlijk en twee tijdelijke aanduidingen voor aangepaste vermeldingen"/>
    </ext>
  </extLst>
</table>
</file>

<file path=xl/tables/table6.xml><?xml version="1.0" encoding="utf-8"?>
<table xmlns="http://schemas.openxmlformats.org/spreadsheetml/2006/main" id="17" name="Juni" displayName="Juni" ref="B6:AH12" totalsRowCount="1" headerRowDxfId="593" dataDxfId="592" totalsRowDxfId="591">
  <tableColumns count="33">
    <tableColumn id="1" name="Naam van werknemer" totalsRowFunction="custom" dataDxfId="590" totalsRowDxfId="589" dataCellStyle="Werknemer">
      <totalsRowFormula>MonthName&amp;" totaal"</totalsRowFormula>
    </tableColumn>
    <tableColumn id="2" name="1" totalsRowFunction="count" dataDxfId="588" totalsRowDxfId="587"/>
    <tableColumn id="3" name="2" totalsRowFunction="count" dataDxfId="586" totalsRowDxfId="585"/>
    <tableColumn id="4" name="3" totalsRowFunction="count" dataDxfId="584" totalsRowDxfId="583"/>
    <tableColumn id="5" name="4" totalsRowFunction="count" dataDxfId="582" totalsRowDxfId="581"/>
    <tableColumn id="6" name="5" totalsRowFunction="count" dataDxfId="580" totalsRowDxfId="579"/>
    <tableColumn id="7" name="6" totalsRowFunction="count" dataDxfId="578" totalsRowDxfId="577"/>
    <tableColumn id="8" name="7" totalsRowFunction="count" dataDxfId="576" totalsRowDxfId="575"/>
    <tableColumn id="9" name="8" totalsRowFunction="count" dataDxfId="574" totalsRowDxfId="573"/>
    <tableColumn id="10" name="9" totalsRowFunction="count" dataDxfId="572" totalsRowDxfId="571"/>
    <tableColumn id="11" name="10" totalsRowFunction="count" dataDxfId="570" totalsRowDxfId="569"/>
    <tableColumn id="12" name="11" totalsRowFunction="count" dataDxfId="568" totalsRowDxfId="567"/>
    <tableColumn id="13" name="12" totalsRowFunction="count" dataDxfId="566" totalsRowDxfId="565"/>
    <tableColumn id="14" name="13" totalsRowFunction="count" dataDxfId="564" totalsRowDxfId="563"/>
    <tableColumn id="15" name="14" totalsRowFunction="count" dataDxfId="562" totalsRowDxfId="561"/>
    <tableColumn id="16" name="15" totalsRowFunction="count" dataDxfId="560" totalsRowDxfId="559"/>
    <tableColumn id="17" name="16" totalsRowFunction="count" dataDxfId="558" totalsRowDxfId="557"/>
    <tableColumn id="18" name="17" totalsRowFunction="count" dataDxfId="556" totalsRowDxfId="555"/>
    <tableColumn id="19" name="18" totalsRowFunction="count" dataDxfId="554" totalsRowDxfId="553"/>
    <tableColumn id="20" name="19" totalsRowFunction="count" dataDxfId="552" totalsRowDxfId="551"/>
    <tableColumn id="21" name="20" totalsRowFunction="count" dataDxfId="550" totalsRowDxfId="549"/>
    <tableColumn id="22" name="21" totalsRowFunction="count" dataDxfId="548" totalsRowDxfId="547"/>
    <tableColumn id="23" name="22" totalsRowFunction="count" dataDxfId="546" totalsRowDxfId="545"/>
    <tableColumn id="24" name="23" totalsRowFunction="count" dataDxfId="544" totalsRowDxfId="543"/>
    <tableColumn id="25" name="24" totalsRowFunction="count" dataDxfId="542" totalsRowDxfId="541"/>
    <tableColumn id="26" name="25" totalsRowFunction="count" dataDxfId="540" totalsRowDxfId="539"/>
    <tableColumn id="27" name="26" totalsRowFunction="count" dataDxfId="538" totalsRowDxfId="537"/>
    <tableColumn id="28" name="27" totalsRowFunction="count" dataDxfId="536" totalsRowDxfId="535"/>
    <tableColumn id="29" name="28" totalsRowFunction="count" dataDxfId="534" totalsRowDxfId="533"/>
    <tableColumn id="30" name="29" totalsRowFunction="count" dataDxfId="532" totalsRowDxfId="531"/>
    <tableColumn id="31" name="30" totalsRowFunction="sum" dataDxfId="530" totalsRowDxfId="529"/>
    <tableColumn id="32" name="31" totalsRowFunction="sum" dataDxfId="528" totalsRowDxfId="527"/>
    <tableColumn id="33" name="Totaal aantal dagen" totalsRowFunction="sum" dataDxfId="526" totalsRowDxfId="525">
      <calculatedColumnFormula>COUNTA(Juni[[#This Row],[1]:[31]])</calculatedColumnFormula>
    </tableColumn>
  </tableColumns>
  <tableStyleInfo name="Werknemersafwezigheidstabel" showFirstColumn="1" showLastColumn="1" showRowStripes="1" showColumnStripes="0"/>
  <extLst>
    <ext xmlns:x14="http://schemas.microsoft.com/office/spreadsheetml/2009/9/main" uri="{504A1905-F514-4f6f-8877-14C23A59335A}">
      <x14:table altTextSummary="Geef de namen van werknemers en datums van afwezigheid aan. Neem het type afwezigheid volgens de sleutel op in rij 12: V = vakantie, Z = ziekte, P = persoonlijk en twee tijdelijke aanduidingen voor aangepaste vermeldingen"/>
    </ext>
  </extLst>
</table>
</file>

<file path=xl/tables/table7.xml><?xml version="1.0" encoding="utf-8"?>
<table xmlns="http://schemas.openxmlformats.org/spreadsheetml/2006/main" id="18" name="Juli" displayName="Juli" ref="B6:AH12" totalsRowCount="1" headerRowDxfId="507" dataDxfId="506" totalsRowDxfId="505">
  <tableColumns count="33">
    <tableColumn id="1" name="Naam van werknemer" totalsRowFunction="custom" dataDxfId="504" totalsRowDxfId="503" dataCellStyle="Werknemer">
      <totalsRowFormula>MonthName&amp;" totaal"</totalsRowFormula>
    </tableColumn>
    <tableColumn id="2" name="1" totalsRowFunction="count" dataDxfId="502" totalsRowDxfId="501"/>
    <tableColumn id="3" name="2" totalsRowFunction="count" dataDxfId="500" totalsRowDxfId="499"/>
    <tableColumn id="4" name="3" totalsRowFunction="count" dataDxfId="498" totalsRowDxfId="497"/>
    <tableColumn id="5" name="4" totalsRowFunction="count" dataDxfId="496" totalsRowDxfId="495"/>
    <tableColumn id="6" name="5" totalsRowFunction="count" dataDxfId="494" totalsRowDxfId="493"/>
    <tableColumn id="7" name="6" totalsRowFunction="count" dataDxfId="492" totalsRowDxfId="491"/>
    <tableColumn id="8" name="7" totalsRowFunction="count" dataDxfId="490" totalsRowDxfId="489"/>
    <tableColumn id="9" name="8" totalsRowFunction="count" dataDxfId="488" totalsRowDxfId="487"/>
    <tableColumn id="10" name="9" totalsRowFunction="count" dataDxfId="486" totalsRowDxfId="485"/>
    <tableColumn id="11" name="10" totalsRowFunction="count" dataDxfId="484" totalsRowDxfId="483"/>
    <tableColumn id="12" name="11" totalsRowFunction="count" dataDxfId="482" totalsRowDxfId="481"/>
    <tableColumn id="13" name="12" totalsRowFunction="count" dataDxfId="480" totalsRowDxfId="479"/>
    <tableColumn id="14" name="13" totalsRowFunction="count" dataDxfId="478" totalsRowDxfId="477"/>
    <tableColumn id="15" name="14" totalsRowFunction="count" dataDxfId="476" totalsRowDxfId="475"/>
    <tableColumn id="16" name="15" totalsRowFunction="count" dataDxfId="474" totalsRowDxfId="473"/>
    <tableColumn id="17" name="16" totalsRowFunction="count" dataDxfId="472" totalsRowDxfId="471"/>
    <tableColumn id="18" name="17" totalsRowFunction="count" dataDxfId="470" totalsRowDxfId="469"/>
    <tableColumn id="19" name="18" totalsRowFunction="count" dataDxfId="468" totalsRowDxfId="467"/>
    <tableColumn id="20" name="19" totalsRowFunction="count" dataDxfId="466" totalsRowDxfId="465"/>
    <tableColumn id="21" name="20" totalsRowFunction="count" dataDxfId="464" totalsRowDxfId="463"/>
    <tableColumn id="22" name="21" totalsRowFunction="count" dataDxfId="462" totalsRowDxfId="461"/>
    <tableColumn id="23" name="22" totalsRowFunction="count" dataDxfId="460" totalsRowDxfId="459"/>
    <tableColumn id="24" name="23" totalsRowFunction="count" dataDxfId="458" totalsRowDxfId="457"/>
    <tableColumn id="25" name="24" totalsRowFunction="count" dataDxfId="456" totalsRowDxfId="455"/>
    <tableColumn id="26" name="25" totalsRowFunction="count" dataDxfId="454" totalsRowDxfId="453"/>
    <tableColumn id="27" name="26" totalsRowFunction="count" dataDxfId="452" totalsRowDxfId="451"/>
    <tableColumn id="28" name="27" totalsRowFunction="count" dataDxfId="450" totalsRowDxfId="449"/>
    <tableColumn id="29" name="28" totalsRowFunction="count" dataDxfId="448" totalsRowDxfId="447"/>
    <tableColumn id="30" name="29" totalsRowFunction="count" dataDxfId="446" totalsRowDxfId="445"/>
    <tableColumn id="31" name="30" totalsRowFunction="sum" dataDxfId="444" totalsRowDxfId="443"/>
    <tableColumn id="32" name="31" totalsRowFunction="sum" dataDxfId="442" totalsRowDxfId="441"/>
    <tableColumn id="33" name="Totaal aantal dagen" totalsRowFunction="sum" dataDxfId="440" totalsRowDxfId="439">
      <calculatedColumnFormula>COUNTA(Juli[[#This Row],[1]:[31]])</calculatedColumnFormula>
    </tableColumn>
  </tableColumns>
  <tableStyleInfo name="Werknemersafwezigheidstabel" showFirstColumn="1" showLastColumn="1" showRowStripes="1" showColumnStripes="0"/>
  <extLst>
    <ext xmlns:x14="http://schemas.microsoft.com/office/spreadsheetml/2009/9/main" uri="{504A1905-F514-4f6f-8877-14C23A59335A}">
      <x14:table altTextSummary="Geef de namen van werknemers en datums van afwezigheid aan. Neem het type afwezigheid volgens de sleutel op in rij 12: V = vakantie, Z = ziekte, P = persoonlijk en twee tijdelijke aanduidingen voor aangepaste vermeldingen"/>
    </ext>
  </extLst>
</table>
</file>

<file path=xl/tables/table8.xml><?xml version="1.0" encoding="utf-8"?>
<table xmlns="http://schemas.openxmlformats.org/spreadsheetml/2006/main" id="19" name="Augustus" displayName="Augustus" ref="B6:AH12" totalsRowCount="1" headerRowDxfId="421" dataDxfId="420" totalsRowDxfId="419">
  <tableColumns count="33">
    <tableColumn id="1" name="Naam van werknemer" totalsRowFunction="custom" dataDxfId="418" totalsRowDxfId="417" dataCellStyle="Werknemer">
      <totalsRowFormula>MonthName&amp;" totaal"</totalsRowFormula>
    </tableColumn>
    <tableColumn id="2" name="1" totalsRowFunction="count" dataDxfId="416" totalsRowDxfId="415"/>
    <tableColumn id="3" name="2" totalsRowFunction="count" dataDxfId="414" totalsRowDxfId="413"/>
    <tableColumn id="4" name="3" totalsRowFunction="count" dataDxfId="412" totalsRowDxfId="411"/>
    <tableColumn id="5" name="4" totalsRowFunction="count" dataDxfId="410" totalsRowDxfId="409"/>
    <tableColumn id="6" name="5" totalsRowFunction="count" dataDxfId="408" totalsRowDxfId="407"/>
    <tableColumn id="7" name="6" totalsRowFunction="count" dataDxfId="406" totalsRowDxfId="405"/>
    <tableColumn id="8" name="7" totalsRowFunction="count" dataDxfId="404" totalsRowDxfId="403"/>
    <tableColumn id="9" name="8" totalsRowFunction="count" dataDxfId="402" totalsRowDxfId="401"/>
    <tableColumn id="10" name="9" totalsRowFunction="count" dataDxfId="400" totalsRowDxfId="399"/>
    <tableColumn id="11" name="10" totalsRowFunction="count" dataDxfId="398" totalsRowDxfId="397"/>
    <tableColumn id="12" name="11" totalsRowFunction="count" dataDxfId="396" totalsRowDxfId="395"/>
    <tableColumn id="13" name="12" totalsRowFunction="count" dataDxfId="394" totalsRowDxfId="393"/>
    <tableColumn id="14" name="13" totalsRowFunction="count" dataDxfId="392" totalsRowDxfId="391"/>
    <tableColumn id="15" name="14" totalsRowFunction="count" dataDxfId="390" totalsRowDxfId="389"/>
    <tableColumn id="16" name="15" totalsRowFunction="count" dataDxfId="388" totalsRowDxfId="387"/>
    <tableColumn id="17" name="16" totalsRowFunction="count" dataDxfId="386" totalsRowDxfId="385"/>
    <tableColumn id="18" name="17" totalsRowFunction="count" dataDxfId="384" totalsRowDxfId="383"/>
    <tableColumn id="19" name="18" totalsRowFunction="count" dataDxfId="382" totalsRowDxfId="381"/>
    <tableColumn id="20" name="19" totalsRowFunction="count" dataDxfId="380" totalsRowDxfId="379"/>
    <tableColumn id="21" name="20" totalsRowFunction="count" dataDxfId="378" totalsRowDxfId="377"/>
    <tableColumn id="22" name="21" totalsRowFunction="count" dataDxfId="376" totalsRowDxfId="375"/>
    <tableColumn id="23" name="22" totalsRowFunction="count" dataDxfId="374" totalsRowDxfId="373"/>
    <tableColumn id="24" name="23" totalsRowFunction="count" dataDxfId="372" totalsRowDxfId="371"/>
    <tableColumn id="25" name="24" totalsRowFunction="count" dataDxfId="370" totalsRowDxfId="369"/>
    <tableColumn id="26" name="25" totalsRowFunction="count" dataDxfId="368" totalsRowDxfId="367"/>
    <tableColumn id="27" name="26" totalsRowFunction="count" dataDxfId="366" totalsRowDxfId="365"/>
    <tableColumn id="28" name="27" totalsRowFunction="count" dataDxfId="364" totalsRowDxfId="363"/>
    <tableColumn id="29" name="28" totalsRowFunction="count" dataDxfId="362" totalsRowDxfId="361"/>
    <tableColumn id="30" name="29" totalsRowFunction="count" dataDxfId="360" totalsRowDxfId="359"/>
    <tableColumn id="31" name="30" totalsRowFunction="sum" dataDxfId="358" totalsRowDxfId="357"/>
    <tableColumn id="32" name="31" totalsRowFunction="sum" dataDxfId="356" totalsRowDxfId="355"/>
    <tableColumn id="33" name="Totaal aantal dagen" totalsRowFunction="sum" dataDxfId="354" totalsRowDxfId="353">
      <calculatedColumnFormula>COUNTA(Augustus[[#This Row],[1]:[31]])</calculatedColumnFormula>
    </tableColumn>
  </tableColumns>
  <tableStyleInfo name="Werknemersafwezigheidstabel" showFirstColumn="1" showLastColumn="1" showRowStripes="1" showColumnStripes="0"/>
  <extLst>
    <ext xmlns:x14="http://schemas.microsoft.com/office/spreadsheetml/2009/9/main" uri="{504A1905-F514-4f6f-8877-14C23A59335A}">
      <x14:table altTextSummary="Geef de namen van werknemers en datums van afwezigheid aan. Neem het type afwezigheid volgens de sleutel op in rij 12: V = vakantie, Z = ziekte, P = persoonlijk en twee tijdelijke aanduidingen voor aangepaste vermeldingen"/>
    </ext>
  </extLst>
</table>
</file>

<file path=xl/tables/table9.xml><?xml version="1.0" encoding="utf-8"?>
<table xmlns="http://schemas.openxmlformats.org/spreadsheetml/2006/main" id="20" name="September" displayName="September" ref="B6:AH12" totalsRowCount="1" headerRowDxfId="335" dataDxfId="334" totalsRowDxfId="333">
  <tableColumns count="33">
    <tableColumn id="1" name="Naam van werknemer" totalsRowFunction="custom" dataDxfId="332" totalsRowDxfId="331" dataCellStyle="Werknemer">
      <totalsRowFormula>MonthName&amp;" totaal"</totalsRowFormula>
    </tableColumn>
    <tableColumn id="2" name="1" totalsRowFunction="count" dataDxfId="330" totalsRowDxfId="329"/>
    <tableColumn id="3" name="2" totalsRowFunction="count" dataDxfId="328" totalsRowDxfId="327"/>
    <tableColumn id="4" name="3" totalsRowFunction="count" dataDxfId="326" totalsRowDxfId="325"/>
    <tableColumn id="5" name="4" totalsRowFunction="count" dataDxfId="324" totalsRowDxfId="323"/>
    <tableColumn id="6" name="5" totalsRowFunction="count" dataDxfId="322" totalsRowDxfId="321"/>
    <tableColumn id="7" name="6" totalsRowFunction="count" dataDxfId="320" totalsRowDxfId="319"/>
    <tableColumn id="8" name="7" totalsRowFunction="count" dataDxfId="318" totalsRowDxfId="317"/>
    <tableColumn id="9" name="8" totalsRowFunction="count" dataDxfId="316" totalsRowDxfId="315"/>
    <tableColumn id="10" name="9" totalsRowFunction="count" dataDxfId="314" totalsRowDxfId="313"/>
    <tableColumn id="11" name="10" totalsRowFunction="count" dataDxfId="312" totalsRowDxfId="311"/>
    <tableColumn id="12" name="11" totalsRowFunction="count" dataDxfId="310" totalsRowDxfId="309"/>
    <tableColumn id="13" name="12" totalsRowFunction="count" dataDxfId="308" totalsRowDxfId="307"/>
    <tableColumn id="14" name="13" totalsRowFunction="count" dataDxfId="306" totalsRowDxfId="305"/>
    <tableColumn id="15" name="14" totalsRowFunction="count" dataDxfId="304" totalsRowDxfId="303"/>
    <tableColumn id="16" name="15" totalsRowFunction="count" dataDxfId="302" totalsRowDxfId="301"/>
    <tableColumn id="17" name="16" totalsRowFunction="count" dataDxfId="300" totalsRowDxfId="299"/>
    <tableColumn id="18" name="17" totalsRowFunction="count" dataDxfId="298" totalsRowDxfId="297"/>
    <tableColumn id="19" name="18" totalsRowFunction="count" dataDxfId="296" totalsRowDxfId="295"/>
    <tableColumn id="20" name="19" totalsRowFunction="count" dataDxfId="294" totalsRowDxfId="293"/>
    <tableColumn id="21" name="20" totalsRowFunction="count" dataDxfId="292" totalsRowDxfId="291"/>
    <tableColumn id="22" name="21" totalsRowFunction="count" dataDxfId="290" totalsRowDxfId="289"/>
    <tableColumn id="23" name="22" totalsRowFunction="count" dataDxfId="288" totalsRowDxfId="287"/>
    <tableColumn id="24" name="23" totalsRowFunction="count" dataDxfId="286" totalsRowDxfId="285"/>
    <tableColumn id="25" name="24" totalsRowFunction="count" dataDxfId="284" totalsRowDxfId="283"/>
    <tableColumn id="26" name="25" totalsRowFunction="count" dataDxfId="282" totalsRowDxfId="281"/>
    <tableColumn id="27" name="26" totalsRowFunction="count" dataDxfId="280" totalsRowDxfId="279"/>
    <tableColumn id="28" name="27" totalsRowFunction="count" dataDxfId="278" totalsRowDxfId="277"/>
    <tableColumn id="29" name="28" totalsRowFunction="count" dataDxfId="276" totalsRowDxfId="275"/>
    <tableColumn id="30" name="29" totalsRowFunction="count" dataDxfId="274" totalsRowDxfId="273"/>
    <tableColumn id="31" name="30" totalsRowFunction="sum" dataDxfId="272" totalsRowDxfId="271"/>
    <tableColumn id="32" name="31" totalsRowFunction="sum" dataDxfId="270" totalsRowDxfId="269"/>
    <tableColumn id="33" name="Totaal aantal dagen" totalsRowFunction="sum" dataDxfId="268" totalsRowDxfId="267">
      <calculatedColumnFormula>COUNTA(September[[#This Row],[1]:[31]])</calculatedColumnFormula>
    </tableColumn>
  </tableColumns>
  <tableStyleInfo name="Werknemersafwezigheidstabel" showFirstColumn="1" showLastColumn="1" showRowStripes="1" showColumnStripes="0"/>
  <extLst>
    <ext xmlns:x14="http://schemas.microsoft.com/office/spreadsheetml/2009/9/main" uri="{504A1905-F514-4f6f-8877-14C23A59335A}">
      <x14:table altTextSummary="Geef de namen van werknemers en datums van afwezigheid aan. Neem het type afwezigheid volgens de sleutel op in rij 12: V = vakantie, Z = ziekte, P = persoonlijk en twee tijdelijke aanduidingen voor aangepaste vermeldingen"/>
    </ext>
  </extLst>
</table>
</file>

<file path=xl/theme/theme1.xml><?xml version="1.0" encoding="utf-8"?>
<a:theme xmlns:a="http://schemas.openxmlformats.org/drawingml/2006/main" name="Office Theme">
  <a:themeElements>
    <a:clrScheme name="Employee Absense Schedule">
      <a:dk1>
        <a:sysClr val="windowText" lastClr="000000"/>
      </a:dk1>
      <a:lt1>
        <a:sysClr val="window" lastClr="FFFFFF"/>
      </a:lt1>
      <a:dk2>
        <a:srgbClr val="4B180E"/>
      </a:dk2>
      <a:lt2>
        <a:srgbClr val="F1F2E8"/>
      </a:lt2>
      <a:accent1>
        <a:srgbClr val="A53423"/>
      </a:accent1>
      <a:accent2>
        <a:srgbClr val="E68130"/>
      </a:accent2>
      <a:accent3>
        <a:srgbClr val="9BB05D"/>
      </a:accent3>
      <a:accent4>
        <a:srgbClr val="CC9900"/>
      </a:accent4>
      <a:accent5>
        <a:srgbClr val="4F66AF"/>
      </a:accent5>
      <a:accent6>
        <a:srgbClr val="D0D2D3"/>
      </a:accent6>
      <a:hlink>
        <a:srgbClr val="4F66AF"/>
      </a:hlink>
      <a:folHlink>
        <a:srgbClr val="6B9AC6"/>
      </a:folHlink>
    </a:clrScheme>
    <a:fontScheme name="Employee Absence Schedule">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89999084444715716"/>
    <pageSetUpPr fitToPage="1"/>
  </sheetPr>
  <dimension ref="A1:AI17"/>
  <sheetViews>
    <sheetView showGridLines="0" tabSelected="1" zoomScale="90" zoomScaleNormal="90" workbookViewId="0">
      <selection activeCell="F16" sqref="F16"/>
    </sheetView>
  </sheetViews>
  <sheetFormatPr defaultRowHeight="30" customHeight="1" x14ac:dyDescent="0.25"/>
  <cols>
    <col min="1" max="1" width="2.7109375" style="6" customWidth="1"/>
    <col min="2" max="2" width="25.7109375" style="6" customWidth="1"/>
    <col min="3" max="33" width="4.7109375" style="6" customWidth="1"/>
    <col min="34" max="34" width="20.7109375" style="6" customWidth="1"/>
    <col min="35" max="35" width="20.7109375" customWidth="1"/>
  </cols>
  <sheetData>
    <row r="1" spans="1:35" ht="50.1" customHeight="1" x14ac:dyDescent="0.25">
      <c r="A1" s="12"/>
      <c r="B1" s="9" t="s">
        <v>0</v>
      </c>
    </row>
    <row r="2" spans="1:35" ht="15" customHeight="1" x14ac:dyDescent="0.25">
      <c r="B2" s="18"/>
      <c r="C2" s="3" t="s">
        <v>3</v>
      </c>
      <c r="D2" s="50" t="s">
        <v>61</v>
      </c>
      <c r="E2" s="51"/>
      <c r="F2" s="20" t="s">
        <v>59</v>
      </c>
      <c r="G2" s="52" t="s">
        <v>60</v>
      </c>
      <c r="H2" s="53"/>
      <c r="I2" s="53"/>
      <c r="J2" s="53"/>
      <c r="K2" s="25" t="s">
        <v>9</v>
      </c>
      <c r="L2" s="24" t="s">
        <v>15</v>
      </c>
      <c r="M2" s="23"/>
      <c r="N2" s="29" t="s">
        <v>62</v>
      </c>
      <c r="O2" s="27" t="s">
        <v>63</v>
      </c>
      <c r="P2" s="17"/>
      <c r="Q2" s="28" t="s">
        <v>65</v>
      </c>
      <c r="R2" s="54" t="s">
        <v>64</v>
      </c>
      <c r="S2" s="53"/>
      <c r="T2" s="53"/>
      <c r="U2" s="53"/>
      <c r="X2" s="21"/>
      <c r="Y2" s="22"/>
      <c r="Z2" s="22"/>
      <c r="AA2" s="22"/>
      <c r="AB2" s="26"/>
      <c r="AC2" s="49"/>
      <c r="AD2" s="49"/>
      <c r="AE2" s="49"/>
    </row>
    <row r="3" spans="1:35" ht="15" customHeight="1" x14ac:dyDescent="0.25">
      <c r="AH3" s="13" t="s">
        <v>38</v>
      </c>
    </row>
    <row r="4" spans="1:35" ht="30" customHeight="1" thickBot="1" x14ac:dyDescent="0.3">
      <c r="B4" s="31" t="s">
        <v>1</v>
      </c>
      <c r="C4" s="48" t="s">
        <v>4</v>
      </c>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31">
        <v>2017</v>
      </c>
      <c r="AI4" s="32"/>
    </row>
    <row r="5" spans="1:35" ht="25.5" customHeight="1" x14ac:dyDescent="0.25">
      <c r="B5" s="30"/>
      <c r="C5" s="56" t="str">
        <f>TEXT(WEEKDAY(DATE(CalendarYear,1,1),1),"aaa")</f>
        <v>zo</v>
      </c>
      <c r="D5" s="40" t="str">
        <f>TEXT(WEEKDAY(DATE(CalendarYear,1,2),1),"aaa")</f>
        <v>ma</v>
      </c>
      <c r="E5" s="40" t="str">
        <f>TEXT(WEEKDAY(DATE(CalendarYear,1,3),1),"aaa")</f>
        <v>di</v>
      </c>
      <c r="F5" s="40" t="str">
        <f>TEXT(WEEKDAY(DATE(CalendarYear,1,4),1),"aaa")</f>
        <v>wo</v>
      </c>
      <c r="G5" s="40" t="str">
        <f>TEXT(WEEKDAY(DATE(CalendarYear,1,5),1),"aaa")</f>
        <v>do</v>
      </c>
      <c r="H5" s="40" t="str">
        <f>TEXT(WEEKDAY(DATE(CalendarYear,1,6),1),"aaa")</f>
        <v>vr</v>
      </c>
      <c r="I5" s="56" t="str">
        <f>TEXT(WEEKDAY(DATE(CalendarYear,1,7),1),"aaa")</f>
        <v>za</v>
      </c>
      <c r="J5" s="56" t="str">
        <f>TEXT(WEEKDAY(DATE(CalendarYear,1,8),1),"aaa")</f>
        <v>zo</v>
      </c>
      <c r="K5" s="40" t="str">
        <f>TEXT(WEEKDAY(DATE(CalendarYear,1,9),1),"aaa")</f>
        <v>ma</v>
      </c>
      <c r="L5" s="40" t="str">
        <f>TEXT(WEEKDAY(DATE(CalendarYear,1,10),1),"aaa")</f>
        <v>di</v>
      </c>
      <c r="M5" s="40" t="str">
        <f>TEXT(WEEKDAY(DATE(CalendarYear,1,11),1),"aaa")</f>
        <v>wo</v>
      </c>
      <c r="N5" s="40" t="str">
        <f>TEXT(WEEKDAY(DATE(CalendarYear,1,12),1),"aaa")</f>
        <v>do</v>
      </c>
      <c r="O5" s="40" t="str">
        <f>TEXT(WEEKDAY(DATE(CalendarYear,1,13),1),"aaa")</f>
        <v>vr</v>
      </c>
      <c r="P5" s="56" t="str">
        <f>TEXT(WEEKDAY(DATE(CalendarYear,1,14),1),"aaa")</f>
        <v>za</v>
      </c>
      <c r="Q5" s="56" t="str">
        <f>TEXT(WEEKDAY(DATE(CalendarYear,1,15),1),"aaa")</f>
        <v>zo</v>
      </c>
      <c r="R5" s="40" t="str">
        <f>TEXT(WEEKDAY(DATE(CalendarYear,1,16),1),"aaa")</f>
        <v>ma</v>
      </c>
      <c r="S5" s="40" t="str">
        <f>TEXT(WEEKDAY(DATE(CalendarYear,1,17),1),"aaa")</f>
        <v>di</v>
      </c>
      <c r="T5" s="40" t="str">
        <f>TEXT(WEEKDAY(DATE(CalendarYear,1,18),1),"aaa")</f>
        <v>wo</v>
      </c>
      <c r="U5" s="40" t="str">
        <f>TEXT(WEEKDAY(DATE(CalendarYear,1,19),1),"aaa")</f>
        <v>do</v>
      </c>
      <c r="V5" s="40" t="str">
        <f>TEXT(WEEKDAY(DATE(CalendarYear,1,20),1),"aaa")</f>
        <v>vr</v>
      </c>
      <c r="W5" s="56" t="str">
        <f>TEXT(WEEKDAY(DATE(CalendarYear,1,21),1),"aaa")</f>
        <v>za</v>
      </c>
      <c r="X5" s="56" t="str">
        <f>TEXT(WEEKDAY(DATE(CalendarYear,1,22),1),"aaa")</f>
        <v>zo</v>
      </c>
      <c r="Y5" s="40" t="str">
        <f>TEXT(WEEKDAY(DATE(CalendarYear,1,23),1),"aaa")</f>
        <v>ma</v>
      </c>
      <c r="Z5" s="40" t="str">
        <f>TEXT(WEEKDAY(DATE(CalendarYear,1,24),1),"aaa")</f>
        <v>di</v>
      </c>
      <c r="AA5" s="40" t="str">
        <f>TEXT(WEEKDAY(DATE(CalendarYear,1,25),1),"aaa")</f>
        <v>wo</v>
      </c>
      <c r="AB5" s="40" t="str">
        <f>TEXT(WEEKDAY(DATE(CalendarYear,1,26),1),"aaa")</f>
        <v>do</v>
      </c>
      <c r="AC5" s="40" t="str">
        <f>TEXT(WEEKDAY(DATE(CalendarYear,1,27),1),"aaa")</f>
        <v>vr</v>
      </c>
      <c r="AD5" s="56" t="str">
        <f>TEXT(WEEKDAY(DATE(CalendarYear,1,28),1),"aaa")</f>
        <v>za</v>
      </c>
      <c r="AE5" s="56" t="str">
        <f>TEXT(WEEKDAY(DATE(CalendarYear,1,29),1),"aaa")</f>
        <v>zo</v>
      </c>
      <c r="AF5" s="40" t="str">
        <f>TEXT(WEEKDAY(DATE(CalendarYear,1,30),1),"aaa")</f>
        <v>ma</v>
      </c>
      <c r="AG5" s="40" t="str">
        <f>TEXT(WEEKDAY(DATE(CalendarYear,1,31),1),"aaa")</f>
        <v>di</v>
      </c>
      <c r="AH5" s="34" t="s">
        <v>66</v>
      </c>
      <c r="AI5" s="36" t="s">
        <v>67</v>
      </c>
    </row>
    <row r="6" spans="1:35" ht="25.5" customHeight="1" thickBot="1" x14ac:dyDescent="0.3">
      <c r="B6" s="42" t="s">
        <v>2</v>
      </c>
      <c r="C6" s="57" t="s">
        <v>5</v>
      </c>
      <c r="D6" s="41" t="s">
        <v>6</v>
      </c>
      <c r="E6" s="41" t="s">
        <v>7</v>
      </c>
      <c r="F6" s="41" t="s">
        <v>8</v>
      </c>
      <c r="G6" s="41" t="s">
        <v>10</v>
      </c>
      <c r="H6" s="41" t="s">
        <v>11</v>
      </c>
      <c r="I6" s="57" t="s">
        <v>12</v>
      </c>
      <c r="J6" s="57" t="s">
        <v>13</v>
      </c>
      <c r="K6" s="41" t="s">
        <v>14</v>
      </c>
      <c r="L6" s="41" t="s">
        <v>16</v>
      </c>
      <c r="M6" s="41" t="s">
        <v>17</v>
      </c>
      <c r="N6" s="41" t="s">
        <v>18</v>
      </c>
      <c r="O6" s="41" t="s">
        <v>19</v>
      </c>
      <c r="P6" s="57" t="s">
        <v>20</v>
      </c>
      <c r="Q6" s="57" t="s">
        <v>21</v>
      </c>
      <c r="R6" s="41" t="s">
        <v>22</v>
      </c>
      <c r="S6" s="41" t="s">
        <v>23</v>
      </c>
      <c r="T6" s="41" t="s">
        <v>24</v>
      </c>
      <c r="U6" s="41" t="s">
        <v>25</v>
      </c>
      <c r="V6" s="41" t="s">
        <v>26</v>
      </c>
      <c r="W6" s="57" t="s">
        <v>27</v>
      </c>
      <c r="X6" s="57" t="s">
        <v>28</v>
      </c>
      <c r="Y6" s="41" t="s">
        <v>29</v>
      </c>
      <c r="Z6" s="41" t="s">
        <v>30</v>
      </c>
      <c r="AA6" s="41" t="s">
        <v>31</v>
      </c>
      <c r="AB6" s="41" t="s">
        <v>32</v>
      </c>
      <c r="AC6" s="41" t="s">
        <v>33</v>
      </c>
      <c r="AD6" s="57" t="s">
        <v>34</v>
      </c>
      <c r="AE6" s="57" t="s">
        <v>35</v>
      </c>
      <c r="AF6" s="41" t="s">
        <v>36</v>
      </c>
      <c r="AG6" s="41" t="s">
        <v>37</v>
      </c>
      <c r="AH6" s="35" t="s">
        <v>69</v>
      </c>
      <c r="AI6" s="37" t="s">
        <v>68</v>
      </c>
    </row>
    <row r="7" spans="1:35" ht="30" customHeight="1" x14ac:dyDescent="0.25">
      <c r="B7" s="33" t="s">
        <v>54</v>
      </c>
      <c r="C7" s="58"/>
      <c r="D7" s="39" t="s">
        <v>65</v>
      </c>
      <c r="E7" s="39" t="s">
        <v>62</v>
      </c>
      <c r="F7" s="39">
        <v>0.5</v>
      </c>
      <c r="G7" s="39" t="s">
        <v>9</v>
      </c>
      <c r="H7" s="39" t="s">
        <v>9</v>
      </c>
      <c r="I7" s="58" t="s">
        <v>9</v>
      </c>
      <c r="J7" s="58" t="s">
        <v>9</v>
      </c>
      <c r="K7" s="39" t="s">
        <v>70</v>
      </c>
      <c r="L7" s="39">
        <v>0.5</v>
      </c>
      <c r="M7" s="39"/>
      <c r="N7" s="39"/>
      <c r="O7" s="39"/>
      <c r="P7" s="58"/>
      <c r="Q7" s="58"/>
      <c r="R7" s="39"/>
      <c r="S7" s="39"/>
      <c r="T7" s="39"/>
      <c r="U7" s="39"/>
      <c r="V7" s="39"/>
      <c r="W7" s="58"/>
      <c r="X7" s="58"/>
      <c r="Y7" s="39"/>
      <c r="Z7" s="39"/>
      <c r="AA7" s="39"/>
      <c r="AB7" s="39"/>
      <c r="AC7" s="39"/>
      <c r="AD7" s="58"/>
      <c r="AE7" s="58"/>
      <c r="AF7" s="39"/>
      <c r="AG7" s="39"/>
      <c r="AH7" s="46">
        <f>COUNTA(Januari!$C7:$AG7)-COUNT(Januari!$C7:$AG7)+(COUNTIF(Januari!$C7:$AG7,"&lt;1")/2)-COUNTIF(Januari!$C7:$AG7,"W")-COUNTIF(Januari!$C7:$AG7,"Z")-COUNTIF(Januari!$C7:$AG7,"R")</f>
        <v>1</v>
      </c>
      <c r="AI7" s="43">
        <f t="shared" ref="AI7:AI11" si="0">COUNTIF(C7:AG7,"*Z*")</f>
        <v>4</v>
      </c>
    </row>
    <row r="8" spans="1:35" ht="30" customHeight="1" x14ac:dyDescent="0.25">
      <c r="B8" s="33" t="s">
        <v>55</v>
      </c>
      <c r="C8" s="58"/>
      <c r="D8" s="39"/>
      <c r="E8" s="39"/>
      <c r="F8" s="39"/>
      <c r="G8" s="39"/>
      <c r="H8" s="39"/>
      <c r="I8" s="58"/>
      <c r="J8" s="58"/>
      <c r="K8" s="39"/>
      <c r="L8" s="39"/>
      <c r="M8" s="39"/>
      <c r="N8" s="39"/>
      <c r="O8" s="39"/>
      <c r="P8" s="58"/>
      <c r="Q8" s="58"/>
      <c r="R8" s="39"/>
      <c r="S8" s="39"/>
      <c r="T8" s="39"/>
      <c r="U8" s="39"/>
      <c r="V8" s="39"/>
      <c r="W8" s="58"/>
      <c r="X8" s="58"/>
      <c r="Y8" s="39"/>
      <c r="Z8" s="39"/>
      <c r="AA8" s="39"/>
      <c r="AB8" s="39"/>
      <c r="AC8" s="39"/>
      <c r="AD8" s="58"/>
      <c r="AE8" s="58"/>
      <c r="AF8" s="39"/>
      <c r="AG8" s="39"/>
      <c r="AH8" s="45">
        <f>COUNTA(Januari!$C8:$AG8)-COUNT(Januari!$C8:$AG8)+(COUNTIF(Januari!$C8:$AG8,"&lt;1")/2)-COUNTIF(Januari!$C8:$AG8,"W")-COUNTIF(Januari!$C8:$AG8,"Z")-COUNTIF(Januari!$C8:$AG8,"R")</f>
        <v>0</v>
      </c>
      <c r="AI8" s="38">
        <f t="shared" si="0"/>
        <v>0</v>
      </c>
    </row>
    <row r="9" spans="1:35" ht="30" customHeight="1" x14ac:dyDescent="0.25">
      <c r="B9" s="33" t="s">
        <v>56</v>
      </c>
      <c r="C9" s="58"/>
      <c r="D9" s="39"/>
      <c r="E9" s="39"/>
      <c r="F9" s="39"/>
      <c r="G9" s="39"/>
      <c r="H9" s="39"/>
      <c r="I9" s="58"/>
      <c r="J9" s="58"/>
      <c r="K9" s="39"/>
      <c r="L9" s="39"/>
      <c r="M9" s="39"/>
      <c r="N9" s="39"/>
      <c r="O9" s="39"/>
      <c r="P9" s="58"/>
      <c r="Q9" s="58"/>
      <c r="R9" s="39"/>
      <c r="S9" s="39"/>
      <c r="T9" s="39"/>
      <c r="U9" s="39"/>
      <c r="V9" s="39"/>
      <c r="W9" s="58"/>
      <c r="X9" s="58"/>
      <c r="Y9" s="39"/>
      <c r="Z9" s="39"/>
      <c r="AA9" s="39"/>
      <c r="AB9" s="39"/>
      <c r="AC9" s="39"/>
      <c r="AD9" s="58"/>
      <c r="AE9" s="58"/>
      <c r="AF9" s="39"/>
      <c r="AG9" s="39"/>
      <c r="AH9" s="45">
        <f>COUNTA(Januari!$C9:$AG9)-COUNT(Januari!$C9:$AG9)+(COUNTIF(Januari!$C9:$AG9,"&lt;1")/2)-COUNTIF(Januari!$C9:$AG9,"W")-COUNTIF(Januari!$C9:$AG9,"Z")-COUNTIF(Januari!$C9:$AG9,"R")</f>
        <v>0</v>
      </c>
      <c r="AI9" s="38">
        <f t="shared" si="0"/>
        <v>0</v>
      </c>
    </row>
    <row r="10" spans="1:35" ht="30" customHeight="1" x14ac:dyDescent="0.25">
      <c r="B10" s="33" t="s">
        <v>57</v>
      </c>
      <c r="C10" s="58"/>
      <c r="D10" s="39"/>
      <c r="E10" s="39"/>
      <c r="F10" s="39"/>
      <c r="G10" s="39"/>
      <c r="H10" s="39"/>
      <c r="I10" s="58"/>
      <c r="J10" s="58"/>
      <c r="K10" s="39"/>
      <c r="L10" s="39"/>
      <c r="M10" s="39"/>
      <c r="N10" s="39"/>
      <c r="O10" s="39"/>
      <c r="P10" s="58"/>
      <c r="Q10" s="58"/>
      <c r="R10" s="39"/>
      <c r="S10" s="39"/>
      <c r="T10" s="39"/>
      <c r="U10" s="39"/>
      <c r="V10" s="39"/>
      <c r="W10" s="58"/>
      <c r="X10" s="58"/>
      <c r="Y10" s="39"/>
      <c r="Z10" s="39"/>
      <c r="AA10" s="39"/>
      <c r="AB10" s="39"/>
      <c r="AC10" s="39"/>
      <c r="AD10" s="58"/>
      <c r="AE10" s="58"/>
      <c r="AF10" s="39"/>
      <c r="AG10" s="39"/>
      <c r="AH10" s="45">
        <f>COUNTA(Januari!$C10:$AG10)-COUNT(Januari!$C10:$AG10)+(COUNTIF(Januari!$C10:$AG10,"&lt;1")/2)-COUNTIF(Januari!$C10:$AG10,"W")-COUNTIF(Januari!$C10:$AG10,"Z")-COUNTIF(Januari!$C10:$AG10,"R")</f>
        <v>0</v>
      </c>
      <c r="AI10" s="38">
        <f t="shared" si="0"/>
        <v>0</v>
      </c>
    </row>
    <row r="11" spans="1:35" ht="30" customHeight="1" thickBot="1" x14ac:dyDescent="0.3">
      <c r="B11" s="33" t="s">
        <v>58</v>
      </c>
      <c r="C11" s="58"/>
      <c r="D11" s="39"/>
      <c r="E11" s="39"/>
      <c r="F11" s="39"/>
      <c r="G11" s="39"/>
      <c r="H11" s="39"/>
      <c r="I11" s="58"/>
      <c r="J11" s="58"/>
      <c r="K11" s="39"/>
      <c r="L11" s="39"/>
      <c r="M11" s="39"/>
      <c r="N11" s="39"/>
      <c r="O11" s="39"/>
      <c r="P11" s="58"/>
      <c r="Q11" s="58"/>
      <c r="R11" s="39"/>
      <c r="S11" s="39"/>
      <c r="T11" s="39"/>
      <c r="U11" s="39"/>
      <c r="V11" s="39"/>
      <c r="W11" s="58"/>
      <c r="X11" s="58"/>
      <c r="Y11" s="39"/>
      <c r="Z11" s="39"/>
      <c r="AA11" s="39"/>
      <c r="AB11" s="39"/>
      <c r="AC11" s="39"/>
      <c r="AD11" s="58"/>
      <c r="AE11" s="58"/>
      <c r="AF11" s="39"/>
      <c r="AG11" s="39"/>
      <c r="AH11" s="47">
        <f>COUNTA(Januari!$C11:$AG11)-COUNT(Januari!$C11:$AG11)+(COUNTIF(Januari!$C11:$AG11,"&lt;1")/2)-COUNTIF(Januari!$C11:$AG11,"W")-COUNTIF(Januari!$C11:$AG11,"Z")-COUNTIF(Januari!$C11:$AG11,"R")</f>
        <v>0</v>
      </c>
      <c r="AI11" s="44">
        <f t="shared" si="0"/>
        <v>0</v>
      </c>
    </row>
    <row r="17" spans="22:22" ht="30" customHeight="1" x14ac:dyDescent="0.25">
      <c r="V17" s="19"/>
    </row>
  </sheetData>
  <mergeCells count="5">
    <mergeCell ref="C4:AG4"/>
    <mergeCell ref="AC2:AE2"/>
    <mergeCell ref="D2:E2"/>
    <mergeCell ref="G2:J2"/>
    <mergeCell ref="R2:U2"/>
  </mergeCells>
  <conditionalFormatting sqref="C7:AG11">
    <cfRule type="containsText" dxfId="1018" priority="31" operator="containsText" text="V">
      <formula>NOT(ISERROR(SEARCH("V",C7)))</formula>
    </cfRule>
    <cfRule type="containsText" dxfId="1017" priority="32" operator="containsText" text="1/2">
      <formula>NOT(ISERROR(SEARCH("1/2",C7)))</formula>
    </cfRule>
    <cfRule type="containsText" dxfId="1016" priority="33" operator="containsText" text="V">
      <formula>NOT(ISERROR(SEARCH("V",C7)))</formula>
    </cfRule>
    <cfRule type="containsText" dxfId="1015" priority="34" operator="containsText" text="V">
      <formula>NOT(ISERROR(SEARCH("V",C7)))</formula>
    </cfRule>
    <cfRule type="containsText" dxfId="1014" priority="35" operator="containsText" text="V">
      <formula>NOT(ISERROR(SEARCH("V",C7)))</formula>
    </cfRule>
    <cfRule type="colorScale" priority="36">
      <colorScale>
        <cfvo type="min"/>
        <cfvo type="max"/>
        <color rgb="FF63BE7B"/>
        <color rgb="FFFCFCFF"/>
      </colorScale>
    </cfRule>
    <cfRule type="containsText" dxfId="1013" priority="39" operator="containsText" text="Z">
      <formula>NOT(ISERROR(SEARCH("Z",C7)))</formula>
    </cfRule>
    <cfRule type="containsText" dxfId="1012" priority="42" operator="containsText" text="V">
      <formula>NOT(ISERROR(SEARCH("V",C7)))</formula>
    </cfRule>
    <cfRule type="containsText" dxfId="1011" priority="43" operator="containsText" text="V">
      <formula>NOT(ISERROR(SEARCH("V",C7)))</formula>
    </cfRule>
    <cfRule type="containsText" dxfId="1010" priority="44" operator="containsText" text="v">
      <formula>NOT(ISERROR(SEARCH("v",C7)))</formula>
    </cfRule>
    <cfRule type="expression" priority="46" stopIfTrue="1">
      <formula>C7=""</formula>
    </cfRule>
    <cfRule type="expression" dxfId="1009" priority="51" stopIfTrue="1">
      <formula>C7=KeyCustom2</formula>
    </cfRule>
    <cfRule type="expression" dxfId="1008" priority="52" stopIfTrue="1">
      <formula>C7=KeyCustom1</formula>
    </cfRule>
    <cfRule type="expression" dxfId="1007" priority="53" stopIfTrue="1">
      <formula>C7=KeySick</formula>
    </cfRule>
    <cfRule type="expression" dxfId="1006" priority="54" stopIfTrue="1">
      <formula>C7=KeyPersonal</formula>
    </cfRule>
    <cfRule type="expression" dxfId="1005" priority="55" stopIfTrue="1">
      <formula>C7=KeyVacation</formula>
    </cfRule>
  </conditionalFormatting>
  <conditionalFormatting sqref="AH7:AH11">
    <cfRule type="dataBar" priority="213">
      <dataBar>
        <cfvo type="num" val="0"/>
        <cfvo type="num" val="31"/>
        <color theme="2" tint="-0.249977111117893"/>
      </dataBar>
      <extLst>
        <ext xmlns:x14="http://schemas.microsoft.com/office/spreadsheetml/2009/9/main" uri="{B025F937-C7B1-47D3-B67F-A62EFF666E3E}">
          <x14:id>{ECCE2C3C-1B01-4700-B60E-DAAAB19A9C1A}</x14:id>
        </ext>
      </extLst>
    </cfRule>
  </conditionalFormatting>
  <conditionalFormatting sqref="C2">
    <cfRule type="containsText" dxfId="1004" priority="13" operator="containsText" text="V">
      <formula>NOT(ISERROR(SEARCH("V",C2)))</formula>
    </cfRule>
    <cfRule type="containsText" dxfId="1003" priority="14" operator="containsText" text="V">
      <formula>NOT(ISERROR(SEARCH("V",C2)))</formula>
    </cfRule>
    <cfRule type="containsText" dxfId="1002" priority="30" operator="containsText" text="V">
      <formula>NOT(ISERROR(SEARCH("V",C2)))</formula>
    </cfRule>
    <cfRule type="containsText" dxfId="1001" priority="40" operator="containsText" text="V">
      <formula>NOT(ISERROR(SEARCH("V",C2)))</formula>
    </cfRule>
    <cfRule type="containsText" dxfId="1000" priority="41" operator="containsText" text="V">
      <formula>NOT(ISERROR(SEARCH("V",C2)))</formula>
    </cfRule>
    <cfRule type="containsText" dxfId="999" priority="45" operator="containsText" text="V">
      <formula>NOT(ISERROR(SEARCH("V",C2)))</formula>
    </cfRule>
  </conditionalFormatting>
  <conditionalFormatting sqref="AH8">
    <cfRule type="cellIs" dxfId="998" priority="29" operator="between">
      <formula>0.5</formula>
      <formula>1</formula>
    </cfRule>
  </conditionalFormatting>
  <conditionalFormatting sqref="C7:AG11">
    <cfRule type="cellIs" dxfId="997" priority="25" operator="equal">
      <formula>0.5</formula>
    </cfRule>
    <cfRule type="containsText" dxfId="996" priority="26" operator="containsText" text="1/2">
      <formula>NOT(ISERROR(SEARCH("1/2",C7)))</formula>
    </cfRule>
    <cfRule type="cellIs" dxfId="995" priority="27" operator="equal">
      <formula>" 1/2"</formula>
    </cfRule>
    <cfRule type="cellIs" dxfId="994" priority="28" operator="equal">
      <formula>" 1/2"</formula>
    </cfRule>
  </conditionalFormatting>
  <conditionalFormatting sqref="F2">
    <cfRule type="containsText" dxfId="993" priority="16" operator="containsText" text="e">
      <formula>NOT(ISERROR(SEARCH("e",F2)))</formula>
    </cfRule>
    <cfRule type="cellIs" dxfId="992" priority="17" operator="equal">
      <formula>42767</formula>
    </cfRule>
    <cfRule type="containsText" dxfId="991" priority="18" operator="containsText" text="1/2">
      <formula>NOT(ISERROR(SEARCH("1/2",F2)))</formula>
    </cfRule>
    <cfRule type="containsText" dxfId="990" priority="19" operator="containsText" text="R">
      <formula>NOT(ISERROR(SEARCH("R",F2)))</formula>
    </cfRule>
  </conditionalFormatting>
  <conditionalFormatting sqref="K2">
    <cfRule type="containsText" dxfId="989" priority="12" operator="containsText" text="Z">
      <formula>NOT(ISERROR(SEARCH("Z",K2)))</formula>
    </cfRule>
    <cfRule type="containsText" dxfId="988" priority="15" operator="containsText" text="Z">
      <formula>NOT(ISERROR(SEARCH("Z",K2)))</formula>
    </cfRule>
  </conditionalFormatting>
  <conditionalFormatting sqref="C7:AG11">
    <cfRule type="containsText" dxfId="987" priority="11" operator="containsText" text="Z">
      <formula>NOT(ISERROR(SEARCH("Z",C7)))</formula>
    </cfRule>
  </conditionalFormatting>
  <conditionalFormatting sqref="C7:AG11">
    <cfRule type="containsText" dxfId="986" priority="10" operator="containsText" text="R">
      <formula>NOT(ISERROR(SEARCH("R",C7)))</formula>
    </cfRule>
  </conditionalFormatting>
  <conditionalFormatting sqref="C7:AG11">
    <cfRule type="containsText" dxfId="985" priority="9" operator="containsText" text="W">
      <formula>NOT(ISERROR(SEARCH("W",C7)))</formula>
    </cfRule>
  </conditionalFormatting>
  <conditionalFormatting sqref="AI7:AI11">
    <cfRule type="dataBar" priority="8">
      <dataBar>
        <cfvo type="min"/>
        <cfvo type="max"/>
        <color rgb="FF008AEF"/>
      </dataBar>
      <extLst>
        <ext xmlns:x14="http://schemas.microsoft.com/office/spreadsheetml/2009/9/main" uri="{B025F937-C7B1-47D3-B67F-A62EFF666E3E}">
          <x14:id>{FD1A6450-FAF9-4275-95E8-9628534E450A}</x14:id>
        </ext>
      </extLst>
    </cfRule>
    <cfRule type="dataBar" priority="6">
      <dataBar>
        <cfvo type="min"/>
        <cfvo type="max"/>
        <color rgb="FF638EC6"/>
      </dataBar>
      <extLst>
        <ext xmlns:x14="http://schemas.microsoft.com/office/spreadsheetml/2009/9/main" uri="{B025F937-C7B1-47D3-B67F-A62EFF666E3E}">
          <x14:id>{BCE6F049-BAA9-4BC1-96FE-1EE8F2051B72}</x14:id>
        </ext>
      </extLst>
    </cfRule>
  </conditionalFormatting>
  <conditionalFormatting sqref="AI7:AI11">
    <cfRule type="dataBar" priority="7">
      <dataBar>
        <cfvo type="min"/>
        <cfvo type="max"/>
        <color rgb="FF638EC6"/>
      </dataBar>
      <extLst>
        <ext xmlns:x14="http://schemas.microsoft.com/office/spreadsheetml/2009/9/main" uri="{B025F937-C7B1-47D3-B67F-A62EFF666E3E}">
          <x14:id>{9DEA6ADB-6C4F-4EDE-B8B9-9FCAC8603962}</x14:id>
        </ext>
      </extLst>
    </cfRule>
    <cfRule type="colorScale" priority="5">
      <colorScale>
        <cfvo type="num" val="0"/>
        <cfvo type="num" val="32"/>
        <color rgb="FFFF7128"/>
        <color rgb="FFFFEF9C"/>
      </colorScale>
    </cfRule>
    <cfRule type="dataBar" priority="4">
      <dataBar>
        <cfvo type="num" val="0"/>
        <cfvo type="num" val="31"/>
        <color rgb="FFFF0000"/>
      </dataBar>
      <extLst>
        <ext xmlns:x14="http://schemas.microsoft.com/office/spreadsheetml/2009/9/main" uri="{B025F937-C7B1-47D3-B67F-A62EFF666E3E}">
          <x14:id>{648E50E3-A6A5-4E7B-BA79-797F59D8A259}</x14:id>
        </ext>
      </extLst>
    </cfRule>
    <cfRule type="colorScale" priority="3">
      <colorScale>
        <cfvo type="min"/>
        <cfvo type="max"/>
        <color theme="0"/>
        <color rgb="FFFFEF9C"/>
      </colorScale>
    </cfRule>
    <cfRule type="dataBar" priority="2">
      <dataBar>
        <cfvo type="min"/>
        <cfvo type="max"/>
        <color rgb="FF638EC6"/>
      </dataBar>
      <extLst>
        <ext xmlns:x14="http://schemas.microsoft.com/office/spreadsheetml/2009/9/main" uri="{B025F937-C7B1-47D3-B67F-A62EFF666E3E}">
          <x14:id>{A71D9229-C3A2-4F8F-BA76-F1255B63CD9E}</x14:id>
        </ext>
      </extLst>
    </cfRule>
    <cfRule type="dataBar" priority="1">
      <dataBar>
        <cfvo type="num" val="0"/>
        <cfvo type="num" val="31"/>
        <color rgb="FFFF0000"/>
      </dataBar>
      <extLst>
        <ext xmlns:x14="http://schemas.microsoft.com/office/spreadsheetml/2009/9/main" uri="{B025F937-C7B1-47D3-B67F-A62EFF666E3E}">
          <x14:id>{157A9EF7-4C6B-415D-BA08-1227A957BB87}</x14:id>
        </ext>
      </extLst>
    </cfRule>
  </conditionalFormatting>
  <dataValidations count="15">
    <dataValidation allowBlank="1" showInputMessage="1" showErrorMessage="1" prompt="Voer het jaar in deze cel in" sqref="AH4"/>
    <dataValidation errorStyle="warning" allowBlank="1" showInputMessage="1" showErrorMessage="1" error="Selecteer een naam in de lijst. Selecteer ANNULEREN, druk dan op ALT+PIJL-OMLAAG en vervolgens op ENTER om een naam te selecteren" prompt="Voer de werknemersnamen in het werkblad met de namen van werknemers in en selecteer vervolgens een van die namen in de lijst in deze kolom. Druk op ALT+PIJL-OMLAAG en vervolgens op ENTER om een naam te selecteren" sqref="B6"/>
    <dataValidation allowBlank="1" showInputMessage="1" showErrorMessage="1" prompt="De dagen van de maand in deze rij worden automatisch gegenereerd. Voer de afwezigheid en het type afwezigheid van een werknemer in elke kolom voor elke dag van de maand in. Leeg betekent geen afwezigheid" sqref="C6"/>
    <dataValidation allowBlank="1" showInputMessage="1" showErrorMessage="1" prompt="De weekdagen in deze rij worden automatisch bijgewerkt voor de maand op basis van het jaar dat u in AH4 hebt ingevoerd. Elke dag van de maand is een kolom om de afwezigheid en het type afwezigheid van een werknemer te noteren" sqref="C5"/>
    <dataValidation allowBlank="1" showInputMessage="1" showErrorMessage="1" prompt="Berekent automatisch het totaal aantal dagen dat een werknemer in deze maand niet aanwezig was" sqref="AH6"/>
    <dataValidation allowBlank="1" showInputMessage="1" showErrorMessage="1" prompt="De titel van dit werkblad staat in deze cel. Werk de titel bij en de wijziging wordt automatisch overgenomen door elk werkblad" sqref="B1"/>
    <dataValidation allowBlank="1" showInputMessage="1" showErrorMessage="1" prompt="Maand van deze afwezigheidsplanning. Werk in cel AH4 het jaar bij. Houd de totalen bij per maand in de laatste cel van de tabel. Voer de werknemersnamen in kolom B in" sqref="B4"/>
    <dataValidation allowBlank="1" showInputMessage="1" showErrorMessage="1" prompt="Deze rij definieert de sleutels die worden gebruikt in de tabel: cel C2 is vakantie, G2 is persoonlijk en K2 is ziekteverlof. De cellen N2 en R2 kunnen worden aangepast " sqref="B2"/>
    <dataValidation allowBlank="1" showInputMessage="1" showErrorMessage="1" prompt="De letter &quot;V&quot; geeft afwezigheid vanwege vakantie aan" sqref="C2"/>
    <dataValidation allowBlank="1" showInputMessage="1" showErrorMessage="1" prompt="De letter &quot;P&quot; geeft afwezigheid vanwege persoonlijke redenen aan" sqref="F2"/>
    <dataValidation allowBlank="1" showInputMessage="1" showErrorMessage="1" prompt="De letter &quot;Z&quot; geeft afwezigheid vanwege ziekte aan" sqref="K2"/>
    <dataValidation allowBlank="1" showInputMessage="1" showErrorMessage="1" prompt="Voer een letter in en pas rechts het label aan om een ander sleutelitem toe te voegen" sqref="AB2 X2 N2 Q2"/>
    <dataValidation allowBlank="1" showInputMessage="1" showErrorMessage="1" prompt="Voer links een label om de aangepaste sleutel te beschrijven in" sqref="AC2:AE2 Y2:AA2 O2:P2 R2"/>
    <dataValidation allowBlank="1" showInputMessage="1" showErrorMessage="1" prompt="Met de werknemersafwezigheidsplanning wordt de afwezigheid van werknemers in dagen per maand bijgehouden. Er zijn 13 werkbladen, 12 maandelijkse en een laatste voor namen van werknemers. Houd de afwezigheid in januari in dit werkblad bij" sqref="A1"/>
    <dataValidation allowBlank="1" showInputMessage="1" showErrorMessage="1" prompt="Jaar invoeren in de cel onder" sqref="AH3"/>
  </dataValidations>
  <printOptions horizontalCentered="1"/>
  <pageMargins left="0.25" right="0.25" top="0.75" bottom="0.75" header="0.3" footer="0.3"/>
  <pageSetup paperSize="9" scale="72"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ECCE2C3C-1B01-4700-B60E-DAAAB19A9C1A}">
            <x14:dataBar minLength="0" maxLength="100">
              <x14:cfvo type="num">
                <xm:f>0</xm:f>
              </x14:cfvo>
              <x14:cfvo type="num">
                <xm:f>31</xm:f>
              </x14:cfvo>
              <x14:negativeFillColor rgb="FFFF0000"/>
              <x14:axisColor rgb="FF000000"/>
            </x14:dataBar>
          </x14:cfRule>
          <xm:sqref>AH7:AH11</xm:sqref>
        </x14:conditionalFormatting>
        <x14:conditionalFormatting xmlns:xm="http://schemas.microsoft.com/office/excel/2006/main">
          <x14:cfRule type="dataBar" id="{FD1A6450-FAF9-4275-95E8-9628534E450A}">
            <x14:dataBar minLength="0" maxLength="100" gradient="0">
              <x14:cfvo type="autoMin"/>
              <x14:cfvo type="autoMax"/>
              <x14:negativeFillColor rgb="FFFF0000"/>
              <x14:axisColor rgb="FF000000"/>
            </x14:dataBar>
          </x14:cfRule>
          <x14:cfRule type="dataBar" id="{BCE6F049-BAA9-4BC1-96FE-1EE8F2051B72}">
            <x14:dataBar minLength="0" maxLength="100">
              <x14:cfvo type="autoMin"/>
              <x14:cfvo type="autoMax"/>
              <x14:negativeFillColor rgb="FFFF0000"/>
              <x14:axisColor rgb="FF000000"/>
            </x14:dataBar>
          </x14:cfRule>
          <xm:sqref>AI7:AI11</xm:sqref>
        </x14:conditionalFormatting>
        <x14:conditionalFormatting xmlns:xm="http://schemas.microsoft.com/office/excel/2006/main">
          <x14:cfRule type="dataBar" id="{9DEA6ADB-6C4F-4EDE-B8B9-9FCAC8603962}">
            <x14:dataBar minLength="0" maxLength="100" gradient="0">
              <x14:cfvo type="min"/>
              <x14:cfvo type="autoMax"/>
              <x14:negativeFillColor rgb="FFFF0000"/>
              <x14:axisColor rgb="FF000000"/>
            </x14:dataBar>
          </x14:cfRule>
          <x14:cfRule type="dataBar" id="{648E50E3-A6A5-4E7B-BA79-797F59D8A259}">
            <x14:dataBar minLength="0" maxLength="100" gradient="0">
              <x14:cfvo type="num">
                <xm:f>0</xm:f>
              </x14:cfvo>
              <x14:cfvo type="num">
                <xm:f>31</xm:f>
              </x14:cfvo>
              <x14:negativeFillColor rgb="FFFF0000"/>
              <x14:axisColor rgb="FF000000"/>
            </x14:dataBar>
          </x14:cfRule>
          <x14:cfRule type="dataBar" id="{A71D9229-C3A2-4F8F-BA76-F1255B63CD9E}">
            <x14:dataBar minLength="0" maxLength="100">
              <x14:cfvo type="autoMin"/>
              <x14:cfvo type="autoMax"/>
              <x14:negativeFillColor rgb="FFFF0000"/>
              <x14:axisColor rgb="FF000000"/>
            </x14:dataBar>
          </x14:cfRule>
          <x14:cfRule type="dataBar" id="{157A9EF7-4C6B-415D-BA08-1227A957BB87}">
            <x14:dataBar minLength="0" maxLength="100" gradient="0">
              <x14:cfvo type="num">
                <xm:f>0</xm:f>
              </x14:cfvo>
              <x14:cfvo type="num">
                <xm:f>31</xm:f>
              </x14:cfvo>
              <x14:negativeFillColor rgb="FFFF0000"/>
              <x14:axisColor rgb="FF000000"/>
            </x14:dataBar>
          </x14:cfRule>
          <xm:sqref>AI7:AI11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Werknemersnamen!$B$4:$B$8</xm:f>
          </x14:formula1>
          <xm:sqref>B7:B11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AH12"/>
  <sheetViews>
    <sheetView showGridLines="0" zoomScaleNormal="100" workbookViewId="0">
      <selection activeCell="B2" sqref="B2:U2"/>
    </sheetView>
  </sheetViews>
  <sheetFormatPr defaultRowHeight="30" customHeight="1" x14ac:dyDescent="0.25"/>
  <cols>
    <col min="1" max="1" width="2.7109375" style="6" customWidth="1"/>
    <col min="2" max="2" width="25.7109375" style="6" customWidth="1"/>
    <col min="3" max="33" width="4.7109375" style="6" customWidth="1"/>
    <col min="34" max="34" width="20.7109375" style="6" customWidth="1"/>
    <col min="35" max="35" width="2.7109375" customWidth="1"/>
  </cols>
  <sheetData>
    <row r="1" spans="2:34" ht="50.1" customHeight="1" x14ac:dyDescent="0.25">
      <c r="B1" s="9" t="str">
        <f>Employee_Absence_Title</f>
        <v>Werknemersafwezigheidsplanning</v>
      </c>
    </row>
    <row r="2" spans="2:34" ht="15" customHeight="1" x14ac:dyDescent="0.25">
      <c r="B2" s="18"/>
      <c r="C2" s="3" t="s">
        <v>3</v>
      </c>
      <c r="D2" s="50" t="s">
        <v>61</v>
      </c>
      <c r="E2" s="51"/>
      <c r="F2" s="20" t="s">
        <v>59</v>
      </c>
      <c r="G2" s="52" t="s">
        <v>60</v>
      </c>
      <c r="H2" s="53"/>
      <c r="I2" s="53"/>
      <c r="J2" s="53"/>
      <c r="K2" s="25" t="s">
        <v>9</v>
      </c>
      <c r="L2" s="24" t="s">
        <v>15</v>
      </c>
      <c r="M2" s="23"/>
      <c r="N2" s="29" t="s">
        <v>62</v>
      </c>
      <c r="O2" s="27" t="s">
        <v>63</v>
      </c>
      <c r="P2" s="17"/>
      <c r="Q2" s="28" t="s">
        <v>65</v>
      </c>
      <c r="R2" s="54" t="s">
        <v>64</v>
      </c>
      <c r="S2" s="53"/>
      <c r="T2" s="53"/>
      <c r="U2" s="53"/>
    </row>
    <row r="3" spans="2:34" ht="15" customHeight="1" x14ac:dyDescent="0.25">
      <c r="B3" s="9"/>
    </row>
    <row r="4" spans="2:34" ht="30" customHeight="1" x14ac:dyDescent="0.25">
      <c r="B4" s="7" t="s">
        <v>48</v>
      </c>
      <c r="C4" s="55" t="s">
        <v>4</v>
      </c>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7">
        <f>CalendarYear</f>
        <v>2017</v>
      </c>
    </row>
    <row r="5" spans="2:34" ht="15" customHeight="1" x14ac:dyDescent="0.25">
      <c r="B5" s="7"/>
      <c r="C5" s="1" t="str">
        <f>TEXT(WEEKDAY(DATE(CalendarYear,10,1),1),"aaa")</f>
        <v>zo</v>
      </c>
      <c r="D5" s="1" t="str">
        <f>TEXT(WEEKDAY(DATE(CalendarYear,10,2),1),"aaa")</f>
        <v>ma</v>
      </c>
      <c r="E5" s="1" t="str">
        <f>TEXT(WEEKDAY(DATE(CalendarYear,10,3),1),"aaa")</f>
        <v>di</v>
      </c>
      <c r="F5" s="1" t="str">
        <f>TEXT(WEEKDAY(DATE(CalendarYear,10,4),1),"aaa")</f>
        <v>wo</v>
      </c>
      <c r="G5" s="1" t="str">
        <f>TEXT(WEEKDAY(DATE(CalendarYear,10,5),1),"aaa")</f>
        <v>do</v>
      </c>
      <c r="H5" s="1" t="str">
        <f>TEXT(WEEKDAY(DATE(CalendarYear,10,6),1),"aaa")</f>
        <v>vr</v>
      </c>
      <c r="I5" s="1" t="str">
        <f>TEXT(WEEKDAY(DATE(CalendarYear,10,7),1),"aaa")</f>
        <v>za</v>
      </c>
      <c r="J5" s="1" t="str">
        <f>TEXT(WEEKDAY(DATE(CalendarYear,10,8),1),"aaa")</f>
        <v>zo</v>
      </c>
      <c r="K5" s="1" t="str">
        <f>TEXT(WEEKDAY(DATE(CalendarYear,10,9),1),"aaa")</f>
        <v>ma</v>
      </c>
      <c r="L5" s="1" t="str">
        <f>TEXT(WEEKDAY(DATE(CalendarYear,10,10),1),"aaa")</f>
        <v>di</v>
      </c>
      <c r="M5" s="1" t="str">
        <f>TEXT(WEEKDAY(DATE(CalendarYear,10,11),1),"aaa")</f>
        <v>wo</v>
      </c>
      <c r="N5" s="1" t="str">
        <f>TEXT(WEEKDAY(DATE(CalendarYear,10,12),1),"aaa")</f>
        <v>do</v>
      </c>
      <c r="O5" s="1" t="str">
        <f>TEXT(WEEKDAY(DATE(CalendarYear,10,13),1),"aaa")</f>
        <v>vr</v>
      </c>
      <c r="P5" s="1" t="str">
        <f>TEXT(WEEKDAY(DATE(CalendarYear,10,14),1),"aaa")</f>
        <v>za</v>
      </c>
      <c r="Q5" s="1" t="str">
        <f>TEXT(WEEKDAY(DATE(CalendarYear,10,15),1),"aaa")</f>
        <v>zo</v>
      </c>
      <c r="R5" s="1" t="str">
        <f>TEXT(WEEKDAY(DATE(CalendarYear,10,16),1),"aaa")</f>
        <v>ma</v>
      </c>
      <c r="S5" s="1" t="str">
        <f>TEXT(WEEKDAY(DATE(CalendarYear,10,17),1),"aaa")</f>
        <v>di</v>
      </c>
      <c r="T5" s="1" t="str">
        <f>TEXT(WEEKDAY(DATE(CalendarYear,10,18),1),"aaa")</f>
        <v>wo</v>
      </c>
      <c r="U5" s="1" t="str">
        <f>TEXT(WEEKDAY(DATE(CalendarYear,10,19),1),"aaa")</f>
        <v>do</v>
      </c>
      <c r="V5" s="1" t="str">
        <f>TEXT(WEEKDAY(DATE(CalendarYear,10,20),1),"aaa")</f>
        <v>vr</v>
      </c>
      <c r="W5" s="1" t="str">
        <f>TEXT(WEEKDAY(DATE(CalendarYear,10,21),1),"aaa")</f>
        <v>za</v>
      </c>
      <c r="X5" s="1" t="str">
        <f>TEXT(WEEKDAY(DATE(CalendarYear,10,22),1),"aaa")</f>
        <v>zo</v>
      </c>
      <c r="Y5" s="1" t="str">
        <f>TEXT(WEEKDAY(DATE(CalendarYear,10,23),1),"aaa")</f>
        <v>ma</v>
      </c>
      <c r="Z5" s="1" t="str">
        <f>TEXT(WEEKDAY(DATE(CalendarYear,10,24),1),"aaa")</f>
        <v>di</v>
      </c>
      <c r="AA5" s="1" t="str">
        <f>TEXT(WEEKDAY(DATE(CalendarYear,10,25),1),"aaa")</f>
        <v>wo</v>
      </c>
      <c r="AB5" s="1" t="str">
        <f>TEXT(WEEKDAY(DATE(CalendarYear,10,26),1),"aaa")</f>
        <v>do</v>
      </c>
      <c r="AC5" s="1" t="str">
        <f>TEXT(WEEKDAY(DATE(CalendarYear,10,27),1),"aaa")</f>
        <v>vr</v>
      </c>
      <c r="AD5" s="1" t="str">
        <f>TEXT(WEEKDAY(DATE(CalendarYear,10,28),1),"aaa")</f>
        <v>za</v>
      </c>
      <c r="AE5" s="1" t="str">
        <f>TEXT(WEEKDAY(DATE(CalendarYear,10,29),1),"aaa")</f>
        <v>zo</v>
      </c>
      <c r="AF5" s="1" t="str">
        <f>TEXT(WEEKDAY(DATE(CalendarYear,10,30),1),"aaa")</f>
        <v>ma</v>
      </c>
      <c r="AG5" s="1" t="str">
        <f>TEXT(WEEKDAY(DATE(CalendarYear,10,31),1),"aaa")</f>
        <v>di</v>
      </c>
      <c r="AH5" s="7"/>
    </row>
    <row r="6" spans="2:34" ht="15" customHeight="1" x14ac:dyDescent="0.25">
      <c r="B6" s="10" t="s">
        <v>2</v>
      </c>
      <c r="C6" s="2" t="s">
        <v>5</v>
      </c>
      <c r="D6" s="2" t="s">
        <v>6</v>
      </c>
      <c r="E6" s="2" t="s">
        <v>7</v>
      </c>
      <c r="F6" s="2" t="s">
        <v>8</v>
      </c>
      <c r="G6" s="2" t="s">
        <v>10</v>
      </c>
      <c r="H6" s="2" t="s">
        <v>11</v>
      </c>
      <c r="I6" s="2" t="s">
        <v>12</v>
      </c>
      <c r="J6" s="2" t="s">
        <v>13</v>
      </c>
      <c r="K6" s="2" t="s">
        <v>14</v>
      </c>
      <c r="L6" s="2" t="s">
        <v>16</v>
      </c>
      <c r="M6" s="2" t="s">
        <v>17</v>
      </c>
      <c r="N6" s="2" t="s">
        <v>18</v>
      </c>
      <c r="O6" s="2" t="s">
        <v>19</v>
      </c>
      <c r="P6" s="2" t="s">
        <v>20</v>
      </c>
      <c r="Q6" s="2" t="s">
        <v>21</v>
      </c>
      <c r="R6" s="2" t="s">
        <v>22</v>
      </c>
      <c r="S6" s="2" t="s">
        <v>23</v>
      </c>
      <c r="T6" s="2" t="s">
        <v>24</v>
      </c>
      <c r="U6" s="2" t="s">
        <v>25</v>
      </c>
      <c r="V6" s="2" t="s">
        <v>26</v>
      </c>
      <c r="W6" s="2" t="s">
        <v>27</v>
      </c>
      <c r="X6" s="2" t="s">
        <v>28</v>
      </c>
      <c r="Y6" s="2" t="s">
        <v>29</v>
      </c>
      <c r="Z6" s="2" t="s">
        <v>30</v>
      </c>
      <c r="AA6" s="2" t="s">
        <v>31</v>
      </c>
      <c r="AB6" s="2" t="s">
        <v>32</v>
      </c>
      <c r="AC6" s="2" t="s">
        <v>33</v>
      </c>
      <c r="AD6" s="2" t="s">
        <v>34</v>
      </c>
      <c r="AE6" s="2" t="s">
        <v>35</v>
      </c>
      <c r="AF6" s="2" t="s">
        <v>36</v>
      </c>
      <c r="AG6" s="2" t="s">
        <v>37</v>
      </c>
      <c r="AH6" s="11" t="s">
        <v>39</v>
      </c>
    </row>
    <row r="7" spans="2:34" ht="30" customHeight="1" x14ac:dyDescent="0.25">
      <c r="B7" s="4" t="s">
        <v>54</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5">
        <f>COUNTA(Oktober[[#This Row],[1]:[31]])</f>
        <v>0</v>
      </c>
    </row>
    <row r="8" spans="2:34" ht="30" customHeight="1" x14ac:dyDescent="0.25">
      <c r="B8" s="4" t="s">
        <v>55</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5">
        <f>COUNTA(Oktober[[#This Row],[1]:[31]])</f>
        <v>0</v>
      </c>
    </row>
    <row r="9" spans="2:34" ht="30" customHeight="1" x14ac:dyDescent="0.25">
      <c r="B9" s="4" t="s">
        <v>56</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5">
        <f>COUNTA(Oktober[[#This Row],[1]:[31]])</f>
        <v>0</v>
      </c>
    </row>
    <row r="10" spans="2:34" ht="30" customHeight="1" x14ac:dyDescent="0.25">
      <c r="B10" s="4" t="s">
        <v>57</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5">
        <f>COUNTA(Oktober[[#This Row],[1]:[31]])</f>
        <v>0</v>
      </c>
    </row>
    <row r="11" spans="2:34" ht="30" customHeight="1" x14ac:dyDescent="0.25">
      <c r="B11" s="4" t="s">
        <v>58</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5">
        <f>COUNTA(Oktober[[#This Row],[1]:[31]])</f>
        <v>0</v>
      </c>
    </row>
    <row r="12" spans="2:34" ht="30" customHeight="1" x14ac:dyDescent="0.25">
      <c r="B12" s="14" t="str">
        <f>MonthName&amp;" totaal"</f>
        <v>Oktober totaal</v>
      </c>
      <c r="C12" s="8">
        <f>SUBTOTAL(103,Oktober[1])</f>
        <v>0</v>
      </c>
      <c r="D12" s="8">
        <f>SUBTOTAL(103,Oktober[2])</f>
        <v>0</v>
      </c>
      <c r="E12" s="8">
        <f>SUBTOTAL(103,Oktober[3])</f>
        <v>0</v>
      </c>
      <c r="F12" s="8">
        <f>SUBTOTAL(103,Oktober[4])</f>
        <v>0</v>
      </c>
      <c r="G12" s="8">
        <f>SUBTOTAL(103,Oktober[5])</f>
        <v>0</v>
      </c>
      <c r="H12" s="8">
        <f>SUBTOTAL(103,Oktober[6])</f>
        <v>0</v>
      </c>
      <c r="I12" s="8">
        <f>SUBTOTAL(103,Oktober[7])</f>
        <v>0</v>
      </c>
      <c r="J12" s="8">
        <f>SUBTOTAL(103,Oktober[8])</f>
        <v>0</v>
      </c>
      <c r="K12" s="8">
        <f>SUBTOTAL(103,Oktober[9])</f>
        <v>0</v>
      </c>
      <c r="L12" s="8">
        <f>SUBTOTAL(103,Oktober[10])</f>
        <v>0</v>
      </c>
      <c r="M12" s="8">
        <f>SUBTOTAL(103,Oktober[11])</f>
        <v>0</v>
      </c>
      <c r="N12" s="8">
        <f>SUBTOTAL(103,Oktober[12])</f>
        <v>0</v>
      </c>
      <c r="O12" s="8">
        <f>SUBTOTAL(103,Oktober[13])</f>
        <v>0</v>
      </c>
      <c r="P12" s="8">
        <f>SUBTOTAL(103,Oktober[14])</f>
        <v>0</v>
      </c>
      <c r="Q12" s="8">
        <f>SUBTOTAL(103,Oktober[15])</f>
        <v>0</v>
      </c>
      <c r="R12" s="8">
        <f>SUBTOTAL(103,Oktober[16])</f>
        <v>0</v>
      </c>
      <c r="S12" s="8">
        <f>SUBTOTAL(103,Oktober[17])</f>
        <v>0</v>
      </c>
      <c r="T12" s="8">
        <f>SUBTOTAL(103,Oktober[18])</f>
        <v>0</v>
      </c>
      <c r="U12" s="8">
        <f>SUBTOTAL(103,Oktober[19])</f>
        <v>0</v>
      </c>
      <c r="V12" s="8">
        <f>SUBTOTAL(103,Oktober[20])</f>
        <v>0</v>
      </c>
      <c r="W12" s="8">
        <f>SUBTOTAL(103,Oktober[21])</f>
        <v>0</v>
      </c>
      <c r="X12" s="8">
        <f>SUBTOTAL(103,Oktober[22])</f>
        <v>0</v>
      </c>
      <c r="Y12" s="8">
        <f>SUBTOTAL(103,Oktober[23])</f>
        <v>0</v>
      </c>
      <c r="Z12" s="8">
        <f>SUBTOTAL(103,Oktober[24])</f>
        <v>0</v>
      </c>
      <c r="AA12" s="8">
        <f>SUBTOTAL(103,Oktober[25])</f>
        <v>0</v>
      </c>
      <c r="AB12" s="8">
        <f>SUBTOTAL(103,Oktober[26])</f>
        <v>0</v>
      </c>
      <c r="AC12" s="8">
        <f>SUBTOTAL(103,Oktober[27])</f>
        <v>0</v>
      </c>
      <c r="AD12" s="8">
        <f>SUBTOTAL(103,Oktober[28])</f>
        <v>0</v>
      </c>
      <c r="AE12" s="8">
        <f>SUBTOTAL(103,Oktober[29])</f>
        <v>0</v>
      </c>
      <c r="AF12" s="8">
        <f>SUBTOTAL(109,Oktober[30])</f>
        <v>0</v>
      </c>
      <c r="AG12" s="8">
        <f>SUBTOTAL(109,Oktober[31])</f>
        <v>0</v>
      </c>
      <c r="AH12" s="8">
        <f>SUBTOTAL(109,Oktober[Totaal aantal dagen])</f>
        <v>0</v>
      </c>
    </row>
  </sheetData>
  <mergeCells count="4">
    <mergeCell ref="C4:AG4"/>
    <mergeCell ref="D2:E2"/>
    <mergeCell ref="G2:J2"/>
    <mergeCell ref="R2:U2"/>
  </mergeCells>
  <conditionalFormatting sqref="C7:AG11">
    <cfRule type="expression" priority="13" stopIfTrue="1">
      <formula>C7=""</formula>
    </cfRule>
  </conditionalFormatting>
  <conditionalFormatting sqref="C7:AG11">
    <cfRule type="expression" dxfId="266" priority="14" stopIfTrue="1">
      <formula>C7=KeyCustom2</formula>
    </cfRule>
    <cfRule type="expression" dxfId="265" priority="15" stopIfTrue="1">
      <formula>C7=KeyCustom1</formula>
    </cfRule>
    <cfRule type="expression" dxfId="264" priority="16" stopIfTrue="1">
      <formula>C7=KeySick</formula>
    </cfRule>
    <cfRule type="expression" dxfId="263" priority="17" stopIfTrue="1">
      <formula>C7=KeyPersonal</formula>
    </cfRule>
    <cfRule type="expression" dxfId="262" priority="18" stopIfTrue="1">
      <formula>C7=KeyVacation</formula>
    </cfRule>
  </conditionalFormatting>
  <conditionalFormatting sqref="AH7:AH11">
    <cfRule type="dataBar" priority="19">
      <dataBar>
        <cfvo type="min"/>
        <cfvo type="formula" val="DATEDIF(DATE(CalendarYear,2,1),DATE(CalendarYear,3,1),&quot;d&quot;)"/>
        <color theme="2" tint="-0.249977111117893"/>
      </dataBar>
      <extLst>
        <ext xmlns:x14="http://schemas.microsoft.com/office/spreadsheetml/2009/9/main" uri="{B025F937-C7B1-47D3-B67F-A62EFF666E3E}">
          <x14:id>{F32A08EA-50E8-4B5F-AB1F-5A7739FBC16C}</x14:id>
        </ext>
      </extLst>
    </cfRule>
  </conditionalFormatting>
  <conditionalFormatting sqref="C2">
    <cfRule type="containsText" dxfId="261" priority="2" operator="containsText" text="V">
      <formula>NOT(ISERROR(SEARCH("V",C2)))</formula>
    </cfRule>
    <cfRule type="containsText" dxfId="260" priority="3" operator="containsText" text="V">
      <formula>NOT(ISERROR(SEARCH("V",C2)))</formula>
    </cfRule>
    <cfRule type="containsText" dxfId="259" priority="9" operator="containsText" text="V">
      <formula>NOT(ISERROR(SEARCH("V",C2)))</formula>
    </cfRule>
    <cfRule type="containsText" dxfId="258" priority="10" operator="containsText" text="V">
      <formula>NOT(ISERROR(SEARCH("V",C2)))</formula>
    </cfRule>
    <cfRule type="containsText" dxfId="257" priority="11" operator="containsText" text="V">
      <formula>NOT(ISERROR(SEARCH("V",C2)))</formula>
    </cfRule>
    <cfRule type="containsText" dxfId="256" priority="12" operator="containsText" text="V">
      <formula>NOT(ISERROR(SEARCH("V",C2)))</formula>
    </cfRule>
  </conditionalFormatting>
  <conditionalFormatting sqref="F2">
    <cfRule type="containsText" dxfId="255" priority="5" operator="containsText" text="e">
      <formula>NOT(ISERROR(SEARCH("e",F2)))</formula>
    </cfRule>
    <cfRule type="cellIs" dxfId="254" priority="6" operator="equal">
      <formula>42767</formula>
    </cfRule>
    <cfRule type="containsText" dxfId="253" priority="7" operator="containsText" text="1/2">
      <formula>NOT(ISERROR(SEARCH("1/2",F2)))</formula>
    </cfRule>
    <cfRule type="containsText" dxfId="252" priority="8" operator="containsText" text="R">
      <formula>NOT(ISERROR(SEARCH("R",F2)))</formula>
    </cfRule>
  </conditionalFormatting>
  <conditionalFormatting sqref="K2">
    <cfRule type="containsText" dxfId="251" priority="1" operator="containsText" text="Z">
      <formula>NOT(ISERROR(SEARCH("Z",K2)))</formula>
    </cfRule>
    <cfRule type="containsText" dxfId="250" priority="4" operator="containsText" text="Z">
      <formula>NOT(ISERROR(SEARCH("Z",K2)))</formula>
    </cfRule>
  </conditionalFormatting>
  <dataValidations count="14">
    <dataValidation allowBlank="1" showInputMessage="1" showErrorMessage="1" prompt="Weekdagen in deze rij worden voor de maand automatisch bijgewerkt op basis van het jaar in AH4. Elke dag van de maand is een kolom om de afwezigheid en het type afwezigheid van een werknemer te noteren" sqref="C5"/>
    <dataValidation allowBlank="1" showInputMessage="1" showErrorMessage="1" prompt="Automatisch bijgewerkt jaar op basis van het jaar dat in het werkblad januari is ingevoerd" sqref="AH4"/>
    <dataValidation allowBlank="1" showInputMessage="1" showErrorMessage="1" prompt="Berekent automatisch het totaal aantal dagen die een werknemer in deze maand niet aanwezig was in deze kolom" sqref="AH6"/>
    <dataValidation allowBlank="1" showInputMessage="1" showErrorMessage="1" prompt="Houd de afwezigheid in oktober in dit werkblad bij" sqref="A1"/>
    <dataValidation errorStyle="warning" allowBlank="1" showInputMessage="1" showErrorMessage="1" error="Selecteer een naam in de lijst. Selecteer ANNULEREN, druk dan op ALT+PIJL-OMLAAG en vervolgens op ENTER om een naam te selecteren" prompt="Voer de werknemersnamen in het werkblad met de namen van werknemers in en selecteer vervolgens een van die namen in de lijst in deze kolom. Druk op ALT+PIJL-OMLAAG en vervolgens op ENTER om een naam te selecteren" sqref="B6"/>
    <dataValidation allowBlank="1" showInputMessage="1" showErrorMessage="1" prompt="De automatisch bijgewerkte titel is in deze cel opgenomen. Als u de titel wilt wijzigen, werk dan B1 in het januari-werkblad bij" sqref="B1"/>
    <dataValidation allowBlank="1" showInputMessage="1" showErrorMessage="1" prompt="De letter &quot;V&quot; geeft afwezigheid vanwege vakantie aan" sqref="C2"/>
    <dataValidation allowBlank="1" showInputMessage="1" showErrorMessage="1" prompt="De letter &quot;P&quot; geeft afwezigheid vanwege persoonlijke redenen aan" sqref="F2"/>
    <dataValidation allowBlank="1" showInputMessage="1" showErrorMessage="1" prompt="De letter &quot;Z&quot; geeft afwezigheid vanwege ziekte aan" sqref="K2"/>
    <dataValidation allowBlank="1" showInputMessage="1" showErrorMessage="1" prompt="Voer een letter in en pas rechts het label aan om een ander sleutelitem toe te voegen" sqref="N2 Q2"/>
    <dataValidation allowBlank="1" showInputMessage="1" showErrorMessage="1" prompt="Voer links een label om de aangepaste sleutel te beschrijven in" sqref="O2:P2 R2"/>
    <dataValidation allowBlank="1" showInputMessage="1" showErrorMessage="1" prompt="Deze rij definieert de sleutels die worden gebruikt in de tabel: cel C2 is vakantie, G2 is persoonlijk en K2 is ziekteverlof. De cellen N2 en R2 kunnen worden aangepast " sqref="B2"/>
    <dataValidation allowBlank="1" showInputMessage="1" showErrorMessage="1" prompt="De naam van de maand van deze afwezigheidsplanning is opgenomen in deze cel. Afwezigheidstotalen voor deze maand zijn opgenomen in de laatste cel van de tabel. Selecteer de werknemersnamen in tabelkolom B" sqref="B4"/>
    <dataValidation allowBlank="1" showInputMessage="1" showErrorMessage="1" prompt="De dagen van de maand in deze rij worden automatisch gegenereerd. Voer de afwezigheid en het type afwezigheid van een werknemer in elke kolom voor elke dag van de maand in. Leeg betekent geen afwezigheid" sqref="C6"/>
  </dataValidations>
  <printOptions horizontalCentered="1"/>
  <pageMargins left="0.25" right="0.25" top="0.75" bottom="0.75" header="0.3" footer="0.3"/>
  <pageSetup paperSize="9" scale="72"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32A08EA-50E8-4B5F-AB1F-5A7739FBC16C}">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Werknemersnamen!$B$4:$B$8</xm:f>
          </x14:formula1>
          <xm:sqref>B7:B11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AH12"/>
  <sheetViews>
    <sheetView showGridLines="0" zoomScaleNormal="100" workbookViewId="0">
      <selection activeCell="B2" sqref="B2:U2"/>
    </sheetView>
  </sheetViews>
  <sheetFormatPr defaultRowHeight="30" customHeight="1" x14ac:dyDescent="0.25"/>
  <cols>
    <col min="1" max="1" width="2.7109375" style="6" customWidth="1"/>
    <col min="2" max="2" width="25.7109375" style="6" customWidth="1"/>
    <col min="3" max="33" width="4.7109375" style="6" customWidth="1"/>
    <col min="34" max="34" width="20.7109375" style="6" customWidth="1"/>
    <col min="35" max="35" width="2.7109375" customWidth="1"/>
  </cols>
  <sheetData>
    <row r="1" spans="2:34" ht="50.1" customHeight="1" x14ac:dyDescent="0.25">
      <c r="B1" s="9" t="str">
        <f>Employee_Absence_Title</f>
        <v>Werknemersafwezigheidsplanning</v>
      </c>
    </row>
    <row r="2" spans="2:34" ht="15" customHeight="1" x14ac:dyDescent="0.25">
      <c r="B2" s="18"/>
      <c r="C2" s="3" t="s">
        <v>3</v>
      </c>
      <c r="D2" s="50" t="s">
        <v>61</v>
      </c>
      <c r="E2" s="51"/>
      <c r="F2" s="20" t="s">
        <v>59</v>
      </c>
      <c r="G2" s="52" t="s">
        <v>60</v>
      </c>
      <c r="H2" s="53"/>
      <c r="I2" s="53"/>
      <c r="J2" s="53"/>
      <c r="K2" s="25" t="s">
        <v>9</v>
      </c>
      <c r="L2" s="24" t="s">
        <v>15</v>
      </c>
      <c r="M2" s="23"/>
      <c r="N2" s="29" t="s">
        <v>62</v>
      </c>
      <c r="O2" s="27" t="s">
        <v>63</v>
      </c>
      <c r="P2" s="17"/>
      <c r="Q2" s="28" t="s">
        <v>65</v>
      </c>
      <c r="R2" s="54" t="s">
        <v>64</v>
      </c>
      <c r="S2" s="53"/>
      <c r="T2" s="53"/>
      <c r="U2" s="53"/>
    </row>
    <row r="3" spans="2:34" ht="15" customHeight="1" x14ac:dyDescent="0.25">
      <c r="B3" s="9"/>
    </row>
    <row r="4" spans="2:34" ht="30" customHeight="1" x14ac:dyDescent="0.25">
      <c r="B4" s="7" t="s">
        <v>49</v>
      </c>
      <c r="C4" s="55" t="s">
        <v>4</v>
      </c>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7">
        <f>CalendarYear</f>
        <v>2017</v>
      </c>
    </row>
    <row r="5" spans="2:34" ht="15" customHeight="1" x14ac:dyDescent="0.25">
      <c r="B5" s="7"/>
      <c r="C5" s="1" t="str">
        <f>TEXT(WEEKDAY(DATE(CalendarYear,11,1),1),"aaa")</f>
        <v>wo</v>
      </c>
      <c r="D5" s="1" t="str">
        <f>TEXT(WEEKDAY(DATE(CalendarYear,11,2),1),"aaa")</f>
        <v>do</v>
      </c>
      <c r="E5" s="1" t="str">
        <f>TEXT(WEEKDAY(DATE(CalendarYear,11,3),1),"aaa")</f>
        <v>vr</v>
      </c>
      <c r="F5" s="1" t="str">
        <f>TEXT(WEEKDAY(DATE(CalendarYear,11,4),1),"aaa")</f>
        <v>za</v>
      </c>
      <c r="G5" s="1" t="str">
        <f>TEXT(WEEKDAY(DATE(CalendarYear,11,5),1),"aaa")</f>
        <v>zo</v>
      </c>
      <c r="H5" s="1" t="str">
        <f>TEXT(WEEKDAY(DATE(CalendarYear,11,6),1),"aaa")</f>
        <v>ma</v>
      </c>
      <c r="I5" s="1" t="str">
        <f>TEXT(WEEKDAY(DATE(CalendarYear,11,7),1),"aaa")</f>
        <v>di</v>
      </c>
      <c r="J5" s="1" t="str">
        <f>TEXT(WEEKDAY(DATE(CalendarYear,11,8),1),"aaa")</f>
        <v>wo</v>
      </c>
      <c r="K5" s="1" t="str">
        <f>TEXT(WEEKDAY(DATE(CalendarYear,11,9),1),"aaa")</f>
        <v>do</v>
      </c>
      <c r="L5" s="1" t="str">
        <f>TEXT(WEEKDAY(DATE(CalendarYear,11,10),1),"aaa")</f>
        <v>vr</v>
      </c>
      <c r="M5" s="1" t="str">
        <f>TEXT(WEEKDAY(DATE(CalendarYear,11,11),1),"aaa")</f>
        <v>za</v>
      </c>
      <c r="N5" s="1" t="str">
        <f>TEXT(WEEKDAY(DATE(CalendarYear,11,12),1),"aaa")</f>
        <v>zo</v>
      </c>
      <c r="O5" s="1" t="str">
        <f>TEXT(WEEKDAY(DATE(CalendarYear,11,13),1),"aaa")</f>
        <v>ma</v>
      </c>
      <c r="P5" s="1" t="str">
        <f>TEXT(WEEKDAY(DATE(CalendarYear,11,14),1),"aaa")</f>
        <v>di</v>
      </c>
      <c r="Q5" s="1" t="str">
        <f>TEXT(WEEKDAY(DATE(CalendarYear,11,15),1),"aaa")</f>
        <v>wo</v>
      </c>
      <c r="R5" s="1" t="str">
        <f>TEXT(WEEKDAY(DATE(CalendarYear,11,16),1),"aaa")</f>
        <v>do</v>
      </c>
      <c r="S5" s="1" t="str">
        <f>TEXT(WEEKDAY(DATE(CalendarYear,11,17),1),"aaa")</f>
        <v>vr</v>
      </c>
      <c r="T5" s="1" t="str">
        <f>TEXT(WEEKDAY(DATE(CalendarYear,11,18),1),"aaa")</f>
        <v>za</v>
      </c>
      <c r="U5" s="1" t="str">
        <f>TEXT(WEEKDAY(DATE(CalendarYear,11,19),1),"aaa")</f>
        <v>zo</v>
      </c>
      <c r="V5" s="1" t="str">
        <f>TEXT(WEEKDAY(DATE(CalendarYear,11,20),1),"aaa")</f>
        <v>ma</v>
      </c>
      <c r="W5" s="1" t="str">
        <f>TEXT(WEEKDAY(DATE(CalendarYear,11,21),1),"aaa")</f>
        <v>di</v>
      </c>
      <c r="X5" s="1" t="str">
        <f>TEXT(WEEKDAY(DATE(CalendarYear,11,22),1),"aaa")</f>
        <v>wo</v>
      </c>
      <c r="Y5" s="1" t="str">
        <f>TEXT(WEEKDAY(DATE(CalendarYear,11,23),1),"aaa")</f>
        <v>do</v>
      </c>
      <c r="Z5" s="1" t="str">
        <f>TEXT(WEEKDAY(DATE(CalendarYear,11,24),1),"aaa")</f>
        <v>vr</v>
      </c>
      <c r="AA5" s="1" t="str">
        <f>TEXT(WEEKDAY(DATE(CalendarYear,11,25),1),"aaa")</f>
        <v>za</v>
      </c>
      <c r="AB5" s="1" t="str">
        <f>TEXT(WEEKDAY(DATE(CalendarYear,11,26),1),"aaa")</f>
        <v>zo</v>
      </c>
      <c r="AC5" s="1" t="str">
        <f>TEXT(WEEKDAY(DATE(CalendarYear,11,27),1),"aaa")</f>
        <v>ma</v>
      </c>
      <c r="AD5" s="1" t="str">
        <f>TEXT(WEEKDAY(DATE(CalendarYear,11,28),1),"aaa")</f>
        <v>di</v>
      </c>
      <c r="AE5" s="1" t="str">
        <f>TEXT(WEEKDAY(DATE(CalendarYear,11,29),1),"aaa")</f>
        <v>wo</v>
      </c>
      <c r="AF5" s="1" t="str">
        <f>TEXT(WEEKDAY(DATE(CalendarYear,11,30),1),"aaa")</f>
        <v>do</v>
      </c>
      <c r="AG5" s="1"/>
      <c r="AH5" s="7"/>
    </row>
    <row r="6" spans="2:34" ht="15" customHeight="1" x14ac:dyDescent="0.25">
      <c r="B6" s="10" t="s">
        <v>2</v>
      </c>
      <c r="C6" s="2" t="s">
        <v>5</v>
      </c>
      <c r="D6" s="2" t="s">
        <v>6</v>
      </c>
      <c r="E6" s="2" t="s">
        <v>7</v>
      </c>
      <c r="F6" s="2" t="s">
        <v>8</v>
      </c>
      <c r="G6" s="2" t="s">
        <v>10</v>
      </c>
      <c r="H6" s="2" t="s">
        <v>11</v>
      </c>
      <c r="I6" s="2" t="s">
        <v>12</v>
      </c>
      <c r="J6" s="2" t="s">
        <v>13</v>
      </c>
      <c r="K6" s="2" t="s">
        <v>14</v>
      </c>
      <c r="L6" s="2" t="s">
        <v>16</v>
      </c>
      <c r="M6" s="2" t="s">
        <v>17</v>
      </c>
      <c r="N6" s="2" t="s">
        <v>18</v>
      </c>
      <c r="O6" s="2" t="s">
        <v>19</v>
      </c>
      <c r="P6" s="2" t="s">
        <v>20</v>
      </c>
      <c r="Q6" s="2" t="s">
        <v>21</v>
      </c>
      <c r="R6" s="2" t="s">
        <v>22</v>
      </c>
      <c r="S6" s="2" t="s">
        <v>23</v>
      </c>
      <c r="T6" s="2" t="s">
        <v>24</v>
      </c>
      <c r="U6" s="2" t="s">
        <v>25</v>
      </c>
      <c r="V6" s="2" t="s">
        <v>26</v>
      </c>
      <c r="W6" s="2" t="s">
        <v>27</v>
      </c>
      <c r="X6" s="2" t="s">
        <v>28</v>
      </c>
      <c r="Y6" s="2" t="s">
        <v>29</v>
      </c>
      <c r="Z6" s="2" t="s">
        <v>30</v>
      </c>
      <c r="AA6" s="2" t="s">
        <v>31</v>
      </c>
      <c r="AB6" s="2" t="s">
        <v>32</v>
      </c>
      <c r="AC6" s="2" t="s">
        <v>33</v>
      </c>
      <c r="AD6" s="2" t="s">
        <v>34</v>
      </c>
      <c r="AE6" s="2" t="s">
        <v>35</v>
      </c>
      <c r="AF6" s="2" t="s">
        <v>36</v>
      </c>
      <c r="AG6" s="2" t="s">
        <v>37</v>
      </c>
      <c r="AH6" s="11" t="s">
        <v>39</v>
      </c>
    </row>
    <row r="7" spans="2:34" ht="30" customHeight="1" x14ac:dyDescent="0.25">
      <c r="B7" s="4" t="s">
        <v>54</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5">
        <f>COUNTA(November[[#This Row],[1]:[31]])</f>
        <v>0</v>
      </c>
    </row>
    <row r="8" spans="2:34" ht="30" customHeight="1" x14ac:dyDescent="0.25">
      <c r="B8" s="4" t="s">
        <v>55</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5">
        <f>COUNTA(November[[#This Row],[1]:[31]])</f>
        <v>0</v>
      </c>
    </row>
    <row r="9" spans="2:34" ht="30" customHeight="1" x14ac:dyDescent="0.25">
      <c r="B9" s="4" t="s">
        <v>56</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5">
        <f>COUNTA(November[[#This Row],[1]:[31]])</f>
        <v>0</v>
      </c>
    </row>
    <row r="10" spans="2:34" ht="30" customHeight="1" x14ac:dyDescent="0.25">
      <c r="B10" s="4" t="s">
        <v>57</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5">
        <f>COUNTA(November[[#This Row],[1]:[31]])</f>
        <v>0</v>
      </c>
    </row>
    <row r="11" spans="2:34" ht="30" customHeight="1" x14ac:dyDescent="0.25">
      <c r="B11" s="4" t="s">
        <v>58</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5">
        <f>COUNTA(November[[#This Row],[1]:[31]])</f>
        <v>0</v>
      </c>
    </row>
    <row r="12" spans="2:34" ht="30" customHeight="1" x14ac:dyDescent="0.25">
      <c r="B12" s="14" t="str">
        <f>MonthName&amp;" totaal"</f>
        <v>November totaal</v>
      </c>
      <c r="C12" s="8">
        <f>SUBTOTAL(103,November[1])</f>
        <v>0</v>
      </c>
      <c r="D12" s="8">
        <f>SUBTOTAL(103,November[2])</f>
        <v>0</v>
      </c>
      <c r="E12" s="8">
        <f>SUBTOTAL(103,November[3])</f>
        <v>0</v>
      </c>
      <c r="F12" s="8">
        <f>SUBTOTAL(103,November[4])</f>
        <v>0</v>
      </c>
      <c r="G12" s="8">
        <f>SUBTOTAL(103,November[5])</f>
        <v>0</v>
      </c>
      <c r="H12" s="8">
        <f>SUBTOTAL(103,November[6])</f>
        <v>0</v>
      </c>
      <c r="I12" s="8">
        <f>SUBTOTAL(103,November[7])</f>
        <v>0</v>
      </c>
      <c r="J12" s="8">
        <f>SUBTOTAL(103,November[8])</f>
        <v>0</v>
      </c>
      <c r="K12" s="8">
        <f>SUBTOTAL(103,November[9])</f>
        <v>0</v>
      </c>
      <c r="L12" s="8">
        <f>SUBTOTAL(103,November[10])</f>
        <v>0</v>
      </c>
      <c r="M12" s="8">
        <f>SUBTOTAL(103,November[11])</f>
        <v>0</v>
      </c>
      <c r="N12" s="8">
        <f>SUBTOTAL(103,November[12])</f>
        <v>0</v>
      </c>
      <c r="O12" s="8">
        <f>SUBTOTAL(103,November[13])</f>
        <v>0</v>
      </c>
      <c r="P12" s="8">
        <f>SUBTOTAL(103,November[14])</f>
        <v>0</v>
      </c>
      <c r="Q12" s="8">
        <f>SUBTOTAL(103,November[15])</f>
        <v>0</v>
      </c>
      <c r="R12" s="8">
        <f>SUBTOTAL(103,November[16])</f>
        <v>0</v>
      </c>
      <c r="S12" s="8">
        <f>SUBTOTAL(103,November[17])</f>
        <v>0</v>
      </c>
      <c r="T12" s="8">
        <f>SUBTOTAL(103,November[18])</f>
        <v>0</v>
      </c>
      <c r="U12" s="8">
        <f>SUBTOTAL(103,November[19])</f>
        <v>0</v>
      </c>
      <c r="V12" s="8">
        <f>SUBTOTAL(103,November[20])</f>
        <v>0</v>
      </c>
      <c r="W12" s="8">
        <f>SUBTOTAL(103,November[21])</f>
        <v>0</v>
      </c>
      <c r="X12" s="8">
        <f>SUBTOTAL(103,November[22])</f>
        <v>0</v>
      </c>
      <c r="Y12" s="8">
        <f>SUBTOTAL(103,November[23])</f>
        <v>0</v>
      </c>
      <c r="Z12" s="8">
        <f>SUBTOTAL(103,November[24])</f>
        <v>0</v>
      </c>
      <c r="AA12" s="8">
        <f>SUBTOTAL(103,November[25])</f>
        <v>0</v>
      </c>
      <c r="AB12" s="8">
        <f>SUBTOTAL(103,November[26])</f>
        <v>0</v>
      </c>
      <c r="AC12" s="8">
        <f>SUBTOTAL(103,November[27])</f>
        <v>0</v>
      </c>
      <c r="AD12" s="8">
        <f>SUBTOTAL(103,November[28])</f>
        <v>0</v>
      </c>
      <c r="AE12" s="8">
        <f>SUBTOTAL(103,November[29])</f>
        <v>0</v>
      </c>
      <c r="AF12" s="8">
        <f>SUBTOTAL(109,November[30])</f>
        <v>0</v>
      </c>
      <c r="AG12" s="8">
        <f>SUBTOTAL(109,November[31])</f>
        <v>0</v>
      </c>
      <c r="AH12" s="8">
        <f>SUBTOTAL(109,November[Totaal aantal dagen])</f>
        <v>0</v>
      </c>
    </row>
  </sheetData>
  <mergeCells count="4">
    <mergeCell ref="C4:AG4"/>
    <mergeCell ref="D2:E2"/>
    <mergeCell ref="G2:J2"/>
    <mergeCell ref="R2:U2"/>
  </mergeCells>
  <conditionalFormatting sqref="C7:AG11">
    <cfRule type="expression" priority="13" stopIfTrue="1">
      <formula>C7=""</formula>
    </cfRule>
  </conditionalFormatting>
  <conditionalFormatting sqref="C7:AG11">
    <cfRule type="expression" dxfId="180" priority="14" stopIfTrue="1">
      <formula>C7=KeyCustom2</formula>
    </cfRule>
    <cfRule type="expression" dxfId="179" priority="15" stopIfTrue="1">
      <formula>C7=KeyCustom1</formula>
    </cfRule>
    <cfRule type="expression" dxfId="178" priority="16" stopIfTrue="1">
      <formula>C7=KeySick</formula>
    </cfRule>
    <cfRule type="expression" dxfId="177" priority="17" stopIfTrue="1">
      <formula>C7=KeyPersonal</formula>
    </cfRule>
    <cfRule type="expression" dxfId="176" priority="18" stopIfTrue="1">
      <formula>C7=KeyVacation</formula>
    </cfRule>
  </conditionalFormatting>
  <conditionalFormatting sqref="AH7:AH11">
    <cfRule type="dataBar" priority="19">
      <dataBar>
        <cfvo type="min"/>
        <cfvo type="formula" val="DATEDIF(DATE(CalendarYear,2,1),DATE(CalendarYear,3,1),&quot;d&quot;)"/>
        <color theme="2" tint="-0.249977111117893"/>
      </dataBar>
      <extLst>
        <ext xmlns:x14="http://schemas.microsoft.com/office/spreadsheetml/2009/9/main" uri="{B025F937-C7B1-47D3-B67F-A62EFF666E3E}">
          <x14:id>{27D92E49-5CF1-46DF-AD7A-3A5E92F274F3}</x14:id>
        </ext>
      </extLst>
    </cfRule>
  </conditionalFormatting>
  <conditionalFormatting sqref="C2">
    <cfRule type="containsText" dxfId="175" priority="2" operator="containsText" text="V">
      <formula>NOT(ISERROR(SEARCH("V",C2)))</formula>
    </cfRule>
    <cfRule type="containsText" dxfId="174" priority="3" operator="containsText" text="V">
      <formula>NOT(ISERROR(SEARCH("V",C2)))</formula>
    </cfRule>
    <cfRule type="containsText" dxfId="173" priority="9" operator="containsText" text="V">
      <formula>NOT(ISERROR(SEARCH("V",C2)))</formula>
    </cfRule>
    <cfRule type="containsText" dxfId="172" priority="10" operator="containsText" text="V">
      <formula>NOT(ISERROR(SEARCH("V",C2)))</formula>
    </cfRule>
    <cfRule type="containsText" dxfId="171" priority="11" operator="containsText" text="V">
      <formula>NOT(ISERROR(SEARCH("V",C2)))</formula>
    </cfRule>
    <cfRule type="containsText" dxfId="170" priority="12" operator="containsText" text="V">
      <formula>NOT(ISERROR(SEARCH("V",C2)))</formula>
    </cfRule>
  </conditionalFormatting>
  <conditionalFormatting sqref="F2">
    <cfRule type="containsText" dxfId="169" priority="5" operator="containsText" text="e">
      <formula>NOT(ISERROR(SEARCH("e",F2)))</formula>
    </cfRule>
    <cfRule type="cellIs" dxfId="168" priority="6" operator="equal">
      <formula>42767</formula>
    </cfRule>
    <cfRule type="containsText" dxfId="167" priority="7" operator="containsText" text="1/2">
      <formula>NOT(ISERROR(SEARCH("1/2",F2)))</formula>
    </cfRule>
    <cfRule type="containsText" dxfId="166" priority="8" operator="containsText" text="R">
      <formula>NOT(ISERROR(SEARCH("R",F2)))</formula>
    </cfRule>
  </conditionalFormatting>
  <conditionalFormatting sqref="K2">
    <cfRule type="containsText" dxfId="165" priority="1" operator="containsText" text="Z">
      <formula>NOT(ISERROR(SEARCH("Z",K2)))</formula>
    </cfRule>
    <cfRule type="containsText" dxfId="164" priority="4" operator="containsText" text="Z">
      <formula>NOT(ISERROR(SEARCH("Z",K2)))</formula>
    </cfRule>
  </conditionalFormatting>
  <dataValidations count="14">
    <dataValidation allowBlank="1" showInputMessage="1" showErrorMessage="1" prompt="De dagen van de maand in deze rij worden automatisch gegenereerd. Voer de afwezigheid en het type afwezigheid van een werknemer in elke kolom voor elke dag van de maand in. Leeg betekent geen afwezigheid" sqref="C6"/>
    <dataValidation allowBlank="1" showInputMessage="1" showErrorMessage="1" prompt="De naam van de maand van deze afwezigheidsplanning is opgenomen in deze cel. Afwezigheidstotalen voor deze maand zijn opgenomen in de laatste cel van de tabel. Selecteer de werknemersnamen in tabelkolom B" sqref="B4"/>
    <dataValidation allowBlank="1" showInputMessage="1" showErrorMessage="1" prompt="Deze rij definieert de sleutels die worden gebruikt in de tabel: cel C2 is vakantie, G2 is persoonlijk en K2 is ziekteverlof. De cellen N2 en R2 kunnen worden aangepast " sqref="B2"/>
    <dataValidation allowBlank="1" showInputMessage="1" showErrorMessage="1" prompt="Voer links een label om de aangepaste sleutel te beschrijven in" sqref="O2:P2 R2"/>
    <dataValidation allowBlank="1" showInputMessage="1" showErrorMessage="1" prompt="Voer een letter in en pas rechts het label aan om een ander sleutelitem toe te voegen" sqref="N2 Q2"/>
    <dataValidation allowBlank="1" showInputMessage="1" showErrorMessage="1" prompt="De letter &quot;Z&quot; geeft afwezigheid vanwege ziekte aan" sqref="K2"/>
    <dataValidation allowBlank="1" showInputMessage="1" showErrorMessage="1" prompt="De letter &quot;P&quot; geeft afwezigheid vanwege persoonlijke redenen aan" sqref="F2"/>
    <dataValidation allowBlank="1" showInputMessage="1" showErrorMessage="1" prompt="De letter &quot;V&quot; geeft afwezigheid vanwege vakantie aan" sqref="C2"/>
    <dataValidation allowBlank="1" showInputMessage="1" showErrorMessage="1" prompt="De automatisch bijgewerkte titel is in deze cel opgenomen. Als u de titel wilt wijzigen, werk dan B1 in het januari-werkblad bij" sqref="B1"/>
    <dataValidation errorStyle="warning" allowBlank="1" showInputMessage="1" showErrorMessage="1" error="Selecteer een naam in de lijst. Selecteer ANNULEREN, druk dan op ALT+PIJL-OMLAAG en vervolgens op ENTER om een naam te selecteren" prompt="Voer de werknemersnamen in het werkblad met de namen van werknemers in en selecteer vervolgens een van die namen in de lijst in deze kolom. Druk op ALT+PIJL-OMLAAG en vervolgens op ENTER om een naam te selecteren" sqref="B6"/>
    <dataValidation allowBlank="1" showInputMessage="1" showErrorMessage="1" prompt="Houd de afwezigheid in november in dit werkblad bij" sqref="A1"/>
    <dataValidation allowBlank="1" showInputMessage="1" showErrorMessage="1" prompt="Berekent automatisch het totaal aantal dagen die een werknemer in deze maand niet aanwezig was in deze kolom" sqref="AH6"/>
    <dataValidation allowBlank="1" showInputMessage="1" showErrorMessage="1" prompt="Automatisch bijgewerkt jaar op basis van het jaar dat in het werkblad januari is ingevoerd" sqref="AH4"/>
    <dataValidation allowBlank="1" showInputMessage="1" showErrorMessage="1" prompt="Weekdagen in deze rij worden voor de maand automatisch bijgewerkt op basis van het jaar in AH4. Elke dag van de maand is een kolom om de afwezigheid en het type afwezigheid van een werknemer te noteren" sqref="C5"/>
  </dataValidations>
  <printOptions horizontalCentered="1"/>
  <pageMargins left="0.25" right="0.25" top="0.75" bottom="0.75" header="0.3" footer="0.3"/>
  <pageSetup paperSize="9" scale="72"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7D92E49-5CF1-46DF-AD7A-3A5E92F274F3}">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Werknemersnamen!$B$4:$B$8</xm:f>
          </x14:formula1>
          <xm:sqref>B7:B11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H12"/>
  <sheetViews>
    <sheetView showGridLines="0" zoomScaleNormal="100" workbookViewId="0">
      <selection activeCell="J17" sqref="J17"/>
    </sheetView>
  </sheetViews>
  <sheetFormatPr defaultRowHeight="30" customHeight="1" x14ac:dyDescent="0.25"/>
  <cols>
    <col min="1" max="1" width="2.7109375" style="6" customWidth="1"/>
    <col min="2" max="2" width="25.7109375" style="6" customWidth="1"/>
    <col min="3" max="33" width="4.7109375" style="6" customWidth="1"/>
    <col min="34" max="34" width="20.7109375" style="6" customWidth="1"/>
    <col min="35" max="35" width="2.7109375" customWidth="1"/>
  </cols>
  <sheetData>
    <row r="1" spans="2:34" ht="50.1" customHeight="1" x14ac:dyDescent="0.25">
      <c r="B1" s="9" t="str">
        <f>Employee_Absence_Title</f>
        <v>Werknemersafwezigheidsplanning</v>
      </c>
    </row>
    <row r="2" spans="2:34" ht="15" customHeight="1" x14ac:dyDescent="0.25">
      <c r="B2" s="18"/>
      <c r="C2" s="3" t="s">
        <v>3</v>
      </c>
      <c r="D2" s="50" t="s">
        <v>61</v>
      </c>
      <c r="E2" s="51"/>
      <c r="F2" s="20" t="s">
        <v>59</v>
      </c>
      <c r="G2" s="52" t="s">
        <v>60</v>
      </c>
      <c r="H2" s="53"/>
      <c r="I2" s="53"/>
      <c r="J2" s="53"/>
      <c r="K2" s="25" t="s">
        <v>9</v>
      </c>
      <c r="L2" s="24" t="s">
        <v>15</v>
      </c>
      <c r="M2" s="23"/>
      <c r="N2" s="29" t="s">
        <v>62</v>
      </c>
      <c r="O2" s="27" t="s">
        <v>63</v>
      </c>
      <c r="P2" s="17"/>
      <c r="Q2" s="28" t="s">
        <v>65</v>
      </c>
      <c r="R2" s="54" t="s">
        <v>64</v>
      </c>
      <c r="S2" s="53"/>
      <c r="T2" s="53"/>
      <c r="U2" s="53"/>
    </row>
    <row r="3" spans="2:34" ht="15" customHeight="1" x14ac:dyDescent="0.25">
      <c r="B3" s="9"/>
    </row>
    <row r="4" spans="2:34" ht="30" customHeight="1" x14ac:dyDescent="0.25">
      <c r="B4" s="7" t="s">
        <v>50</v>
      </c>
      <c r="C4" s="55" t="s">
        <v>4</v>
      </c>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7">
        <f>CalendarYear</f>
        <v>2017</v>
      </c>
    </row>
    <row r="5" spans="2:34" ht="15" customHeight="1" x14ac:dyDescent="0.25">
      <c r="B5" s="7"/>
      <c r="C5" s="1" t="str">
        <f>TEXT(WEEKDAY(DATE(CalendarYear,12,1),1),"aaa")</f>
        <v>vr</v>
      </c>
      <c r="D5" s="1" t="str">
        <f>TEXT(WEEKDAY(DATE(CalendarYear,12,2),1),"aaa")</f>
        <v>za</v>
      </c>
      <c r="E5" s="1" t="str">
        <f>TEXT(WEEKDAY(DATE(CalendarYear,12,3),1),"aaa")</f>
        <v>zo</v>
      </c>
      <c r="F5" s="1" t="str">
        <f>TEXT(WEEKDAY(DATE(CalendarYear,12,4),1),"aaa")</f>
        <v>ma</v>
      </c>
      <c r="G5" s="1" t="str">
        <f>TEXT(WEEKDAY(DATE(CalendarYear,12,5),1),"aaa")</f>
        <v>di</v>
      </c>
      <c r="H5" s="1" t="str">
        <f>TEXT(WEEKDAY(DATE(CalendarYear,12,6),1),"aaa")</f>
        <v>wo</v>
      </c>
      <c r="I5" s="1" t="str">
        <f>TEXT(WEEKDAY(DATE(CalendarYear,12,7),1),"aaa")</f>
        <v>do</v>
      </c>
      <c r="J5" s="1" t="str">
        <f>TEXT(WEEKDAY(DATE(CalendarYear,12,8),1),"aaa")</f>
        <v>vr</v>
      </c>
      <c r="K5" s="1" t="str">
        <f>TEXT(WEEKDAY(DATE(CalendarYear,12,9),1),"aaa")</f>
        <v>za</v>
      </c>
      <c r="L5" s="1" t="str">
        <f>TEXT(WEEKDAY(DATE(CalendarYear,12,10),1),"aaa")</f>
        <v>zo</v>
      </c>
      <c r="M5" s="1" t="str">
        <f>TEXT(WEEKDAY(DATE(CalendarYear,12,11),1),"aaa")</f>
        <v>ma</v>
      </c>
      <c r="N5" s="1" t="str">
        <f>TEXT(WEEKDAY(DATE(CalendarYear,12,12),1),"aaa")</f>
        <v>di</v>
      </c>
      <c r="O5" s="1" t="str">
        <f>TEXT(WEEKDAY(DATE(CalendarYear,12,13),1),"aaa")</f>
        <v>wo</v>
      </c>
      <c r="P5" s="1" t="str">
        <f>TEXT(WEEKDAY(DATE(CalendarYear,12,14),1),"aaa")</f>
        <v>do</v>
      </c>
      <c r="Q5" s="1" t="str">
        <f>TEXT(WEEKDAY(DATE(CalendarYear,12,15),1),"aaa")</f>
        <v>vr</v>
      </c>
      <c r="R5" s="1" t="str">
        <f>TEXT(WEEKDAY(DATE(CalendarYear,12,16),1),"aaa")</f>
        <v>za</v>
      </c>
      <c r="S5" s="1" t="str">
        <f>TEXT(WEEKDAY(DATE(CalendarYear,12,17),1),"aaa")</f>
        <v>zo</v>
      </c>
      <c r="T5" s="1" t="str">
        <f>TEXT(WEEKDAY(DATE(CalendarYear,12,18),1),"aaa")</f>
        <v>ma</v>
      </c>
      <c r="U5" s="1" t="str">
        <f>TEXT(WEEKDAY(DATE(CalendarYear,12,19),1),"aaa")</f>
        <v>di</v>
      </c>
      <c r="V5" s="1" t="str">
        <f>TEXT(WEEKDAY(DATE(CalendarYear,12,20),1),"aaa")</f>
        <v>wo</v>
      </c>
      <c r="W5" s="1" t="str">
        <f>TEXT(WEEKDAY(DATE(CalendarYear,12,21),1),"aaa")</f>
        <v>do</v>
      </c>
      <c r="X5" s="1" t="str">
        <f>TEXT(WEEKDAY(DATE(CalendarYear,12,22),1),"aaa")</f>
        <v>vr</v>
      </c>
      <c r="Y5" s="1" t="str">
        <f>TEXT(WEEKDAY(DATE(CalendarYear,12,23),1),"aaa")</f>
        <v>za</v>
      </c>
      <c r="Z5" s="1" t="str">
        <f>TEXT(WEEKDAY(DATE(CalendarYear,12,24),1),"aaa")</f>
        <v>zo</v>
      </c>
      <c r="AA5" s="1" t="str">
        <f>TEXT(WEEKDAY(DATE(CalendarYear,12,25),1),"aaa")</f>
        <v>ma</v>
      </c>
      <c r="AB5" s="1" t="str">
        <f>TEXT(WEEKDAY(DATE(CalendarYear,12,26),1),"aaa")</f>
        <v>di</v>
      </c>
      <c r="AC5" s="1" t="str">
        <f>TEXT(WEEKDAY(DATE(CalendarYear,12,27),1),"aaa")</f>
        <v>wo</v>
      </c>
      <c r="AD5" s="1" t="str">
        <f>TEXT(WEEKDAY(DATE(CalendarYear,12,28),1),"aaa")</f>
        <v>do</v>
      </c>
      <c r="AE5" s="1" t="str">
        <f>TEXT(WEEKDAY(DATE(CalendarYear,12,29),1),"aaa")</f>
        <v>vr</v>
      </c>
      <c r="AF5" s="1" t="str">
        <f>TEXT(WEEKDAY(DATE(CalendarYear,12,30),1),"aaa")</f>
        <v>za</v>
      </c>
      <c r="AG5" s="1" t="str">
        <f>TEXT(WEEKDAY(DATE(CalendarYear,12,31),1),"aaa")</f>
        <v>zo</v>
      </c>
      <c r="AH5" s="7"/>
    </row>
    <row r="6" spans="2:34" ht="15" customHeight="1" x14ac:dyDescent="0.25">
      <c r="B6" s="10" t="s">
        <v>2</v>
      </c>
      <c r="C6" s="2" t="s">
        <v>5</v>
      </c>
      <c r="D6" s="2" t="s">
        <v>6</v>
      </c>
      <c r="E6" s="2" t="s">
        <v>7</v>
      </c>
      <c r="F6" s="2" t="s">
        <v>8</v>
      </c>
      <c r="G6" s="2" t="s">
        <v>10</v>
      </c>
      <c r="H6" s="2" t="s">
        <v>11</v>
      </c>
      <c r="I6" s="2" t="s">
        <v>12</v>
      </c>
      <c r="J6" s="2" t="s">
        <v>13</v>
      </c>
      <c r="K6" s="2" t="s">
        <v>14</v>
      </c>
      <c r="L6" s="2" t="s">
        <v>16</v>
      </c>
      <c r="M6" s="2" t="s">
        <v>17</v>
      </c>
      <c r="N6" s="2" t="s">
        <v>18</v>
      </c>
      <c r="O6" s="2" t="s">
        <v>19</v>
      </c>
      <c r="P6" s="2" t="s">
        <v>20</v>
      </c>
      <c r="Q6" s="2" t="s">
        <v>21</v>
      </c>
      <c r="R6" s="2" t="s">
        <v>22</v>
      </c>
      <c r="S6" s="2" t="s">
        <v>23</v>
      </c>
      <c r="T6" s="2" t="s">
        <v>24</v>
      </c>
      <c r="U6" s="2" t="s">
        <v>25</v>
      </c>
      <c r="V6" s="2" t="s">
        <v>26</v>
      </c>
      <c r="W6" s="2" t="s">
        <v>27</v>
      </c>
      <c r="X6" s="2" t="s">
        <v>28</v>
      </c>
      <c r="Y6" s="2" t="s">
        <v>29</v>
      </c>
      <c r="Z6" s="2" t="s">
        <v>30</v>
      </c>
      <c r="AA6" s="2" t="s">
        <v>31</v>
      </c>
      <c r="AB6" s="2" t="s">
        <v>32</v>
      </c>
      <c r="AC6" s="2" t="s">
        <v>33</v>
      </c>
      <c r="AD6" s="2" t="s">
        <v>34</v>
      </c>
      <c r="AE6" s="2" t="s">
        <v>35</v>
      </c>
      <c r="AF6" s="2" t="s">
        <v>36</v>
      </c>
      <c r="AG6" s="2" t="s">
        <v>37</v>
      </c>
      <c r="AH6" s="11" t="s">
        <v>39</v>
      </c>
    </row>
    <row r="7" spans="2:34" ht="30" customHeight="1" x14ac:dyDescent="0.25">
      <c r="B7" s="4" t="s">
        <v>54</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5">
        <f>COUNTA(December[[#This Row],[1]:[31]])</f>
        <v>0</v>
      </c>
    </row>
    <row r="8" spans="2:34" ht="30" customHeight="1" x14ac:dyDescent="0.25">
      <c r="B8" s="4" t="s">
        <v>55</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5">
        <f>COUNTA(December[[#This Row],[1]:[31]])</f>
        <v>0</v>
      </c>
    </row>
    <row r="9" spans="2:34" ht="30" customHeight="1" x14ac:dyDescent="0.25">
      <c r="B9" s="4" t="s">
        <v>56</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5">
        <f>COUNTA(December[[#This Row],[1]:[31]])</f>
        <v>0</v>
      </c>
    </row>
    <row r="10" spans="2:34" ht="30" customHeight="1" x14ac:dyDescent="0.25">
      <c r="B10" s="4" t="s">
        <v>57</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5">
        <f>COUNTA(December[[#This Row],[1]:[31]])</f>
        <v>0</v>
      </c>
    </row>
    <row r="11" spans="2:34" ht="30" customHeight="1" x14ac:dyDescent="0.25">
      <c r="B11" s="4" t="s">
        <v>58</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5">
        <f>COUNTA(December[[#This Row],[1]:[31]])</f>
        <v>0</v>
      </c>
    </row>
    <row r="12" spans="2:34" ht="30" customHeight="1" x14ac:dyDescent="0.25">
      <c r="B12" s="14" t="str">
        <f>MonthName&amp;" totaal"</f>
        <v>December totaal</v>
      </c>
      <c r="C12" s="8">
        <f>SUBTOTAL(103,December[1])</f>
        <v>0</v>
      </c>
      <c r="D12" s="8">
        <f>SUBTOTAL(103,December[2])</f>
        <v>0</v>
      </c>
      <c r="E12" s="8">
        <f>SUBTOTAL(103,December[3])</f>
        <v>0</v>
      </c>
      <c r="F12" s="8">
        <f>SUBTOTAL(103,December[4])</f>
        <v>0</v>
      </c>
      <c r="G12" s="8">
        <f>SUBTOTAL(103,December[5])</f>
        <v>0</v>
      </c>
      <c r="H12" s="8">
        <f>SUBTOTAL(103,December[6])</f>
        <v>0</v>
      </c>
      <c r="I12" s="8">
        <f>SUBTOTAL(103,December[7])</f>
        <v>0</v>
      </c>
      <c r="J12" s="8">
        <f>SUBTOTAL(103,December[8])</f>
        <v>0</v>
      </c>
      <c r="K12" s="8">
        <f>SUBTOTAL(103,December[9])</f>
        <v>0</v>
      </c>
      <c r="L12" s="8">
        <f>SUBTOTAL(103,December[10])</f>
        <v>0</v>
      </c>
      <c r="M12" s="8">
        <f>SUBTOTAL(103,December[11])</f>
        <v>0</v>
      </c>
      <c r="N12" s="8">
        <f>SUBTOTAL(103,December[12])</f>
        <v>0</v>
      </c>
      <c r="O12" s="8">
        <f>SUBTOTAL(103,December[13])</f>
        <v>0</v>
      </c>
      <c r="P12" s="8">
        <f>SUBTOTAL(103,December[14])</f>
        <v>0</v>
      </c>
      <c r="Q12" s="8">
        <f>SUBTOTAL(103,December[15])</f>
        <v>0</v>
      </c>
      <c r="R12" s="8">
        <f>SUBTOTAL(103,December[16])</f>
        <v>0</v>
      </c>
      <c r="S12" s="8">
        <f>SUBTOTAL(103,December[17])</f>
        <v>0</v>
      </c>
      <c r="T12" s="8">
        <f>SUBTOTAL(103,December[18])</f>
        <v>0</v>
      </c>
      <c r="U12" s="8">
        <f>SUBTOTAL(103,December[19])</f>
        <v>0</v>
      </c>
      <c r="V12" s="8">
        <f>SUBTOTAL(103,December[20])</f>
        <v>0</v>
      </c>
      <c r="W12" s="8">
        <f>SUBTOTAL(103,December[21])</f>
        <v>0</v>
      </c>
      <c r="X12" s="8">
        <f>SUBTOTAL(103,December[22])</f>
        <v>0</v>
      </c>
      <c r="Y12" s="8">
        <f>SUBTOTAL(103,December[23])</f>
        <v>0</v>
      </c>
      <c r="Z12" s="8">
        <f>SUBTOTAL(103,December[24])</f>
        <v>0</v>
      </c>
      <c r="AA12" s="8">
        <f>SUBTOTAL(103,December[25])</f>
        <v>0</v>
      </c>
      <c r="AB12" s="8">
        <f>SUBTOTAL(103,December[26])</f>
        <v>0</v>
      </c>
      <c r="AC12" s="8">
        <f>SUBTOTAL(103,December[27])</f>
        <v>0</v>
      </c>
      <c r="AD12" s="8">
        <f>SUBTOTAL(103,December[28])</f>
        <v>0</v>
      </c>
      <c r="AE12" s="8">
        <f>SUBTOTAL(103,December[29])</f>
        <v>0</v>
      </c>
      <c r="AF12" s="8">
        <f>SUBTOTAL(109,December[30])</f>
        <v>0</v>
      </c>
      <c r="AG12" s="8">
        <f>SUBTOTAL(109,December[31])</f>
        <v>0</v>
      </c>
      <c r="AH12" s="8">
        <f>SUBTOTAL(109,December[Totaal aantal dagen])</f>
        <v>0</v>
      </c>
    </row>
  </sheetData>
  <mergeCells count="4">
    <mergeCell ref="C4:AG4"/>
    <mergeCell ref="D2:E2"/>
    <mergeCell ref="G2:J2"/>
    <mergeCell ref="R2:U2"/>
  </mergeCells>
  <conditionalFormatting sqref="C7:AG11">
    <cfRule type="expression" priority="13" stopIfTrue="1">
      <formula>C7=""</formula>
    </cfRule>
  </conditionalFormatting>
  <conditionalFormatting sqref="C7:AG11">
    <cfRule type="expression" dxfId="94" priority="14" stopIfTrue="1">
      <formula>C7=KeyCustom2</formula>
    </cfRule>
    <cfRule type="expression" dxfId="93" priority="15" stopIfTrue="1">
      <formula>C7=KeyCustom1</formula>
    </cfRule>
    <cfRule type="expression" dxfId="92" priority="16" stopIfTrue="1">
      <formula>C7=KeySick</formula>
    </cfRule>
    <cfRule type="expression" dxfId="91" priority="17" stopIfTrue="1">
      <formula>C7=KeyPersonal</formula>
    </cfRule>
    <cfRule type="expression" dxfId="90" priority="18" stopIfTrue="1">
      <formula>C7=KeyVacation</formula>
    </cfRule>
  </conditionalFormatting>
  <conditionalFormatting sqref="AH7:AH11">
    <cfRule type="dataBar" priority="42">
      <dataBar>
        <cfvo type="min"/>
        <cfvo type="formula" val="DATEDIF(DATE(CalendarYear,2,1),DATE(CalendarYear,3,1),&quot;d&quot;)"/>
        <color theme="2" tint="-0.249977111117893"/>
      </dataBar>
      <extLst>
        <ext xmlns:x14="http://schemas.microsoft.com/office/spreadsheetml/2009/9/main" uri="{B025F937-C7B1-47D3-B67F-A62EFF666E3E}">
          <x14:id>{17586780-365B-4F4C-BBB4-F5991705D361}</x14:id>
        </ext>
      </extLst>
    </cfRule>
  </conditionalFormatting>
  <conditionalFormatting sqref="C2">
    <cfRule type="containsText" dxfId="89" priority="2" operator="containsText" text="V">
      <formula>NOT(ISERROR(SEARCH("V",C2)))</formula>
    </cfRule>
    <cfRule type="containsText" dxfId="88" priority="3" operator="containsText" text="V">
      <formula>NOT(ISERROR(SEARCH("V",C2)))</formula>
    </cfRule>
    <cfRule type="containsText" dxfId="87" priority="9" operator="containsText" text="V">
      <formula>NOT(ISERROR(SEARCH("V",C2)))</formula>
    </cfRule>
    <cfRule type="containsText" dxfId="86" priority="10" operator="containsText" text="V">
      <formula>NOT(ISERROR(SEARCH("V",C2)))</formula>
    </cfRule>
    <cfRule type="containsText" dxfId="85" priority="11" operator="containsText" text="V">
      <formula>NOT(ISERROR(SEARCH("V",C2)))</formula>
    </cfRule>
    <cfRule type="containsText" dxfId="84" priority="12" operator="containsText" text="V">
      <formula>NOT(ISERROR(SEARCH("V",C2)))</formula>
    </cfRule>
  </conditionalFormatting>
  <conditionalFormatting sqref="F2">
    <cfRule type="containsText" dxfId="83" priority="5" operator="containsText" text="e">
      <formula>NOT(ISERROR(SEARCH("e",F2)))</formula>
    </cfRule>
    <cfRule type="cellIs" dxfId="82" priority="6" operator="equal">
      <formula>42767</formula>
    </cfRule>
    <cfRule type="containsText" dxfId="81" priority="7" operator="containsText" text="1/2">
      <formula>NOT(ISERROR(SEARCH("1/2",F2)))</formula>
    </cfRule>
    <cfRule type="containsText" dxfId="80" priority="8" operator="containsText" text="R">
      <formula>NOT(ISERROR(SEARCH("R",F2)))</formula>
    </cfRule>
  </conditionalFormatting>
  <conditionalFormatting sqref="K2">
    <cfRule type="containsText" dxfId="79" priority="1" operator="containsText" text="Z">
      <formula>NOT(ISERROR(SEARCH("Z",K2)))</formula>
    </cfRule>
    <cfRule type="containsText" dxfId="78" priority="4" operator="containsText" text="Z">
      <formula>NOT(ISERROR(SEARCH("Z",K2)))</formula>
    </cfRule>
  </conditionalFormatting>
  <dataValidations count="14">
    <dataValidation allowBlank="1" showInputMessage="1" showErrorMessage="1" prompt="Automatisch bijgewerkt jaar op basis van het jaar dat in het werkblad januari is ingevoerd" sqref="AH4"/>
    <dataValidation allowBlank="1" showInputMessage="1" showErrorMessage="1" prompt="Berekent automatisch het totaal aantal dagen die een werknemer in deze maand niet aanwezig was in deze kolom" sqref="AH6"/>
    <dataValidation allowBlank="1" showInputMessage="1" showErrorMessage="1" prompt="Houd de afwezigheid in december in dit werkblad bij" sqref="A1"/>
    <dataValidation errorStyle="warning" allowBlank="1" showInputMessage="1" showErrorMessage="1" error="Selecteer een naam in de lijst. Selecteer ANNULEREN, druk dan op ALT+PIJL-OMLAAG en vervolgens op ENTER om een naam te selecteren" prompt="Voer de werknemersnamen in het werkblad met de namen van werknemers in en selecteer vervolgens een van die namen in de lijst in deze kolom. Druk op ALT+PIJL-OMLAAG en vervolgens op ENTER om een naam te selecteren" sqref="B6"/>
    <dataValidation allowBlank="1" showInputMessage="1" showErrorMessage="1" prompt="De automatisch bijgewerkte titel is in deze cel opgenomen. Als u de titel wilt wijzigen, werk dan B1 in het januari-werkblad bij" sqref="B1"/>
    <dataValidation allowBlank="1" showInputMessage="1" showErrorMessage="1" prompt="De letter &quot;V&quot; geeft afwezigheid vanwege vakantie aan" sqref="C2"/>
    <dataValidation allowBlank="1" showInputMessage="1" showErrorMessage="1" prompt="De letter &quot;P&quot; geeft afwezigheid vanwege persoonlijke redenen aan" sqref="F2"/>
    <dataValidation allowBlank="1" showInputMessage="1" showErrorMessage="1" prompt="De letter &quot;Z&quot; geeft afwezigheid vanwege ziekte aan" sqref="K2"/>
    <dataValidation allowBlank="1" showInputMessage="1" showErrorMessage="1" prompt="Voer een letter in en pas rechts het label aan om een ander sleutelitem toe te voegen" sqref="N2 Q2"/>
    <dataValidation allowBlank="1" showInputMessage="1" showErrorMessage="1" prompt="Voer links een label om de aangepaste sleutel te beschrijven in" sqref="O2:P2 R2"/>
    <dataValidation allowBlank="1" showInputMessage="1" showErrorMessage="1" prompt="Deze rij definieert de sleutels die worden gebruikt in de tabel: cel C2 is vakantie, G2 is persoonlijk en K2 is ziekteverlof. De cellen N2 en R2 kunnen worden aangepast " sqref="B2"/>
    <dataValidation allowBlank="1" showInputMessage="1" showErrorMessage="1" prompt="De naam van de maand van deze afwezigheidsplanning is opgenomen in deze cel. Afwezigheidstotalen voor deze maand zijn opgenomen in de laatste cel van de tabel. Selecteer de werknemersnamen in tabelkolom B" sqref="B4"/>
    <dataValidation allowBlank="1" showInputMessage="1" showErrorMessage="1" prompt="Weekdagen in deze rij worden voor de maand automatisch bijgewerkt op basis van het jaar in AH4. Elke dag van de maand is een kolom om de afwezigheid en het type afwezigheid van een werknemer te noteren" sqref="C5"/>
    <dataValidation allowBlank="1" showInputMessage="1" showErrorMessage="1" prompt="De dagen van de maand in deze rij worden automatisch gegenereerd. Voer de afwezigheid en het type afwezigheid van een werknemer in elke kolom voor elke dag van de maand in. Leeg betekent geen afwezigheid" sqref="C6"/>
  </dataValidations>
  <printOptions horizontalCentered="1"/>
  <pageMargins left="0.25" right="0.25" top="0.75" bottom="0.75" header="0.3" footer="0.3"/>
  <pageSetup paperSize="9" scale="72"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7586780-365B-4F4C-BBB4-F5991705D361}">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Werknemersnamen!$B$4:$B$8</xm:f>
          </x14:formula1>
          <xm:sqref>B7:B11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B1:B8"/>
  <sheetViews>
    <sheetView showGridLines="0" workbookViewId="0">
      <selection activeCell="D15" sqref="D15"/>
    </sheetView>
  </sheetViews>
  <sheetFormatPr defaultRowHeight="30" customHeight="1" x14ac:dyDescent="0.25"/>
  <cols>
    <col min="1" max="1" width="2.7109375" customWidth="1"/>
    <col min="2" max="2" width="30.7109375" customWidth="1"/>
    <col min="3" max="3" width="2.7109375" customWidth="1"/>
  </cols>
  <sheetData>
    <row r="1" spans="2:2" ht="50.1" customHeight="1" x14ac:dyDescent="0.25">
      <c r="B1" s="15" t="s">
        <v>51</v>
      </c>
    </row>
    <row r="2" spans="2:2" ht="15" customHeight="1" x14ac:dyDescent="0.25"/>
    <row r="3" spans="2:2" ht="30" customHeight="1" x14ac:dyDescent="0.25">
      <c r="B3" t="s">
        <v>51</v>
      </c>
    </row>
    <row r="4" spans="2:2" ht="30" customHeight="1" x14ac:dyDescent="0.25">
      <c r="B4" s="16" t="s">
        <v>54</v>
      </c>
    </row>
    <row r="5" spans="2:2" ht="30" customHeight="1" x14ac:dyDescent="0.25">
      <c r="B5" s="16" t="s">
        <v>55</v>
      </c>
    </row>
    <row r="6" spans="2:2" ht="30" customHeight="1" x14ac:dyDescent="0.25">
      <c r="B6" s="16" t="s">
        <v>56</v>
      </c>
    </row>
    <row r="7" spans="2:2" ht="30" customHeight="1" x14ac:dyDescent="0.25">
      <c r="B7" s="16" t="s">
        <v>57</v>
      </c>
    </row>
    <row r="8" spans="2:2" ht="30" customHeight="1" x14ac:dyDescent="0.25">
      <c r="B8" s="16" t="s">
        <v>58</v>
      </c>
    </row>
  </sheetData>
  <dataValidations count="3">
    <dataValidation allowBlank="1" showInputMessage="1" showErrorMessage="1" prompt="Titel                                                                   werknemersnamen_x000a_              _x000a__x000a_           _x000a_                _x000a_                                                                     " sqref="B1"/>
    <dataValidation allowBlank="1" showInputMessage="1" showErrorMessage="1" prompt="Voer de namen van werknemers in de werknemerstabel in dit werkblad in. Deze namen worden gebruikt als optie in kolom B van de afwezigheidstabel van elke maand" sqref="A1"/>
    <dataValidation allowBlank="1" showInputMessage="1" showErrorMessage="1" prompt="Voer de werknemersnamen         in deze kolom in               _x000a_                                                        _x000a__x000a_" sqref="B3"/>
  </dataValidations>
  <printOptions horizontalCentered="1"/>
  <pageMargins left="0.25" right="0.25" top="0.75" bottom="0.75" header="0.3" footer="0.3"/>
  <pageSetup paperSize="9" fitToHeight="0" orientation="landscape"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pageSetUpPr fitToPage="1"/>
  </sheetPr>
  <dimension ref="A1:AH11"/>
  <sheetViews>
    <sheetView showGridLines="0" zoomScaleNormal="100" workbookViewId="0">
      <selection activeCell="B2" sqref="B2:U2"/>
    </sheetView>
  </sheetViews>
  <sheetFormatPr defaultColWidth="9.140625" defaultRowHeight="30" customHeight="1" x14ac:dyDescent="0.25"/>
  <cols>
    <col min="1" max="1" width="2.7109375" style="6" customWidth="1"/>
    <col min="2" max="2" width="25.7109375" style="6" customWidth="1"/>
    <col min="3" max="33" width="4.7109375" style="6" customWidth="1"/>
    <col min="34" max="34" width="20.7109375" style="6" customWidth="1"/>
    <col min="35" max="35" width="2.7109375" customWidth="1"/>
  </cols>
  <sheetData>
    <row r="1" spans="2:34" ht="50.1" customHeight="1" x14ac:dyDescent="0.25">
      <c r="B1" s="9" t="str">
        <f>Employee_Absence_Title</f>
        <v>Werknemersafwezigheidsplanning</v>
      </c>
    </row>
    <row r="2" spans="2:34" ht="15" customHeight="1" x14ac:dyDescent="0.25">
      <c r="B2" s="18"/>
      <c r="C2" s="3" t="s">
        <v>3</v>
      </c>
      <c r="D2" s="50" t="s">
        <v>61</v>
      </c>
      <c r="E2" s="51"/>
      <c r="F2" s="20" t="s">
        <v>59</v>
      </c>
      <c r="G2" s="52" t="s">
        <v>60</v>
      </c>
      <c r="H2" s="53"/>
      <c r="I2" s="53"/>
      <c r="J2" s="53"/>
      <c r="K2" s="25" t="s">
        <v>9</v>
      </c>
      <c r="L2" s="24" t="s">
        <v>15</v>
      </c>
      <c r="M2" s="23"/>
      <c r="N2" s="29" t="s">
        <v>62</v>
      </c>
      <c r="O2" s="27" t="s">
        <v>63</v>
      </c>
      <c r="P2" s="17"/>
      <c r="Q2" s="28" t="s">
        <v>65</v>
      </c>
      <c r="R2" s="54" t="s">
        <v>64</v>
      </c>
      <c r="S2" s="53"/>
      <c r="T2" s="53"/>
      <c r="U2" s="53"/>
    </row>
    <row r="3" spans="2:34" ht="15" customHeight="1" x14ac:dyDescent="0.25">
      <c r="B3"/>
    </row>
    <row r="4" spans="2:34" ht="30" customHeight="1" x14ac:dyDescent="0.25">
      <c r="B4" s="7" t="s">
        <v>40</v>
      </c>
      <c r="C4" s="55" t="s">
        <v>4</v>
      </c>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7">
        <f>CalendarYear</f>
        <v>2017</v>
      </c>
    </row>
    <row r="5" spans="2:34" ht="15" customHeight="1" x14ac:dyDescent="0.25">
      <c r="B5" s="7"/>
      <c r="C5" s="1" t="str">
        <f>TEXT(WEEKDAY(DATE(CalendarYear,2,1),1),"aaa")</f>
        <v>wo</v>
      </c>
      <c r="D5" s="1" t="str">
        <f>TEXT(WEEKDAY(DATE(CalendarYear,2,2),1),"aaa")</f>
        <v>do</v>
      </c>
      <c r="E5" s="1" t="str">
        <f>TEXT(WEEKDAY(DATE(CalendarYear,2,3),1),"aaa")</f>
        <v>vr</v>
      </c>
      <c r="F5" s="1" t="str">
        <f>TEXT(WEEKDAY(DATE(CalendarYear,2,4),1),"aaa")</f>
        <v>za</v>
      </c>
      <c r="G5" s="1" t="str">
        <f>TEXT(WEEKDAY(DATE(CalendarYear,2,5),1),"aaa")</f>
        <v>zo</v>
      </c>
      <c r="H5" s="1" t="str">
        <f>TEXT(WEEKDAY(DATE(CalendarYear,2,6),1),"aaa")</f>
        <v>ma</v>
      </c>
      <c r="I5" s="1" t="str">
        <f>TEXT(WEEKDAY(DATE(CalendarYear,2,7),1),"aaa")</f>
        <v>di</v>
      </c>
      <c r="J5" s="1" t="str">
        <f>TEXT(WEEKDAY(DATE(CalendarYear,2,8),1),"aaa")</f>
        <v>wo</v>
      </c>
      <c r="K5" s="1" t="str">
        <f>TEXT(WEEKDAY(DATE(CalendarYear,2,9),1),"aaa")</f>
        <v>do</v>
      </c>
      <c r="L5" s="1" t="str">
        <f>TEXT(WEEKDAY(DATE(CalendarYear,2,10),1),"aaa")</f>
        <v>vr</v>
      </c>
      <c r="M5" s="1" t="str">
        <f>TEXT(WEEKDAY(DATE(CalendarYear,2,11),1),"aaa")</f>
        <v>za</v>
      </c>
      <c r="N5" s="1" t="str">
        <f>TEXT(WEEKDAY(DATE(CalendarYear,2,12),1),"aaa")</f>
        <v>zo</v>
      </c>
      <c r="O5" s="1" t="str">
        <f>TEXT(WEEKDAY(DATE(CalendarYear,2,13),1),"aaa")</f>
        <v>ma</v>
      </c>
      <c r="P5" s="1" t="str">
        <f>TEXT(WEEKDAY(DATE(CalendarYear,2,14),1),"aaa")</f>
        <v>di</v>
      </c>
      <c r="Q5" s="1" t="str">
        <f>TEXT(WEEKDAY(DATE(CalendarYear,2,15),1),"aaa")</f>
        <v>wo</v>
      </c>
      <c r="R5" s="1" t="str">
        <f>TEXT(WEEKDAY(DATE(CalendarYear,2,16),1),"aaa")</f>
        <v>do</v>
      </c>
      <c r="S5" s="1" t="str">
        <f>TEXT(WEEKDAY(DATE(CalendarYear,2,17),1),"aaa")</f>
        <v>vr</v>
      </c>
      <c r="T5" s="1" t="str">
        <f>TEXT(WEEKDAY(DATE(CalendarYear,2,18),1),"aaa")</f>
        <v>za</v>
      </c>
      <c r="U5" s="1" t="str">
        <f>TEXT(WEEKDAY(DATE(CalendarYear,2,19),1),"aaa")</f>
        <v>zo</v>
      </c>
      <c r="V5" s="1" t="str">
        <f>TEXT(WEEKDAY(DATE(CalendarYear,2,20),1),"aaa")</f>
        <v>ma</v>
      </c>
      <c r="W5" s="1" t="str">
        <f>TEXT(WEEKDAY(DATE(CalendarYear,2,21),1),"aaa")</f>
        <v>di</v>
      </c>
      <c r="X5" s="1" t="str">
        <f>TEXT(WEEKDAY(DATE(CalendarYear,2,22),1),"aaa")</f>
        <v>wo</v>
      </c>
      <c r="Y5" s="1" t="str">
        <f>TEXT(WEEKDAY(DATE(CalendarYear,2,23),1),"aaa")</f>
        <v>do</v>
      </c>
      <c r="Z5" s="1" t="str">
        <f>TEXT(WEEKDAY(DATE(CalendarYear,2,24),1),"aaa")</f>
        <v>vr</v>
      </c>
      <c r="AA5" s="1" t="str">
        <f>TEXT(WEEKDAY(DATE(CalendarYear,2,25),1),"aaa")</f>
        <v>za</v>
      </c>
      <c r="AB5" s="1" t="str">
        <f>TEXT(WEEKDAY(DATE(CalendarYear,2,26),1),"aaa")</f>
        <v>zo</v>
      </c>
      <c r="AC5" s="1" t="str">
        <f>TEXT(WEEKDAY(DATE(CalendarYear,2,27),1),"aaa")</f>
        <v>ma</v>
      </c>
      <c r="AD5" s="1" t="str">
        <f>TEXT(WEEKDAY(DATE(CalendarYear,2,28),1),"aaa")</f>
        <v>di</v>
      </c>
      <c r="AE5" s="1" t="str">
        <f>TEXT(WEEKDAY(DATE(CalendarYear,2,29),1),"aaa")</f>
        <v>wo</v>
      </c>
      <c r="AF5" s="1"/>
      <c r="AG5" s="1"/>
      <c r="AH5" s="7"/>
    </row>
    <row r="6" spans="2:34" ht="15" customHeight="1" x14ac:dyDescent="0.25">
      <c r="B6" s="10" t="s">
        <v>2</v>
      </c>
      <c r="C6" s="2" t="s">
        <v>5</v>
      </c>
      <c r="D6" s="2" t="s">
        <v>6</v>
      </c>
      <c r="E6" s="2" t="s">
        <v>7</v>
      </c>
      <c r="F6" s="2" t="s">
        <v>8</v>
      </c>
      <c r="G6" s="2" t="s">
        <v>10</v>
      </c>
      <c r="H6" s="2" t="s">
        <v>11</v>
      </c>
      <c r="I6" s="2" t="s">
        <v>12</v>
      </c>
      <c r="J6" s="2" t="s">
        <v>13</v>
      </c>
      <c r="K6" s="2" t="s">
        <v>14</v>
      </c>
      <c r="L6" s="2" t="s">
        <v>16</v>
      </c>
      <c r="M6" s="2" t="s">
        <v>17</v>
      </c>
      <c r="N6" s="2" t="s">
        <v>18</v>
      </c>
      <c r="O6" s="2" t="s">
        <v>19</v>
      </c>
      <c r="P6" s="2" t="s">
        <v>20</v>
      </c>
      <c r="Q6" s="2" t="s">
        <v>21</v>
      </c>
      <c r="R6" s="2" t="s">
        <v>22</v>
      </c>
      <c r="S6" s="2" t="s">
        <v>23</v>
      </c>
      <c r="T6" s="2" t="s">
        <v>24</v>
      </c>
      <c r="U6" s="2" t="s">
        <v>25</v>
      </c>
      <c r="V6" s="2" t="s">
        <v>26</v>
      </c>
      <c r="W6" s="2" t="s">
        <v>27</v>
      </c>
      <c r="X6" s="2" t="s">
        <v>28</v>
      </c>
      <c r="Y6" s="2" t="s">
        <v>29</v>
      </c>
      <c r="Z6" s="2" t="s">
        <v>30</v>
      </c>
      <c r="AA6" s="2" t="s">
        <v>31</v>
      </c>
      <c r="AB6" s="2" t="s">
        <v>32</v>
      </c>
      <c r="AC6" s="2" t="s">
        <v>33</v>
      </c>
      <c r="AD6" s="2" t="s">
        <v>34</v>
      </c>
      <c r="AE6" s="2" t="s">
        <v>35</v>
      </c>
      <c r="AF6" s="2" t="s">
        <v>41</v>
      </c>
      <c r="AG6" s="2" t="s">
        <v>42</v>
      </c>
      <c r="AH6" s="11" t="s">
        <v>39</v>
      </c>
    </row>
    <row r="7" spans="2:34" ht="30" customHeight="1" x14ac:dyDescent="0.25">
      <c r="B7" s="4" t="s">
        <v>54</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5">
        <f>COUNTA(Februari[[#This Row],[1]:[29]])</f>
        <v>0</v>
      </c>
    </row>
    <row r="8" spans="2:34" ht="30" customHeight="1" x14ac:dyDescent="0.25">
      <c r="B8" s="4" t="s">
        <v>55</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5">
        <f>COUNTA(Februari[[#This Row],[1]:[29]])</f>
        <v>0</v>
      </c>
    </row>
    <row r="9" spans="2:34" ht="30" customHeight="1" x14ac:dyDescent="0.25">
      <c r="B9" s="4" t="s">
        <v>56</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5">
        <f>COUNTA(Februari[[#This Row],[1]:[29]])</f>
        <v>0</v>
      </c>
    </row>
    <row r="10" spans="2:34" ht="30" customHeight="1" x14ac:dyDescent="0.25">
      <c r="B10" s="4" t="s">
        <v>57</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5">
        <f>COUNTA(Februari[[#This Row],[1]:[29]])</f>
        <v>0</v>
      </c>
    </row>
    <row r="11" spans="2:34" ht="30" customHeight="1" x14ac:dyDescent="0.25">
      <c r="B11" s="4" t="s">
        <v>58</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5">
        <f>COUNTA(Februari[[#This Row],[1]:[29]])</f>
        <v>0</v>
      </c>
    </row>
  </sheetData>
  <mergeCells count="4">
    <mergeCell ref="C4:AG4"/>
    <mergeCell ref="D2:E2"/>
    <mergeCell ref="G2:J2"/>
    <mergeCell ref="R2:U2"/>
  </mergeCells>
  <conditionalFormatting sqref="AE6">
    <cfRule type="expression" dxfId="956" priority="28">
      <formula>MONTH(DATE(CalendarYear,2,29))&lt;&gt;2</formula>
    </cfRule>
  </conditionalFormatting>
  <conditionalFormatting sqref="AE5">
    <cfRule type="expression" dxfId="955" priority="27">
      <formula>MONTH(DATE(CalendarYear,2,29))&lt;&gt;2</formula>
    </cfRule>
  </conditionalFormatting>
  <conditionalFormatting sqref="C7:AG11">
    <cfRule type="expression" priority="14" stopIfTrue="1">
      <formula>C7=""</formula>
    </cfRule>
    <cfRule type="expression" dxfId="954" priority="15" stopIfTrue="1">
      <formula>C7=KeyCustom2</formula>
    </cfRule>
  </conditionalFormatting>
  <conditionalFormatting sqref="C7:AG11">
    <cfRule type="expression" dxfId="953" priority="17" stopIfTrue="1">
      <formula>C7=KeyCustom1</formula>
    </cfRule>
    <cfRule type="expression" dxfId="952" priority="18" stopIfTrue="1">
      <formula>C7=KeySick</formula>
    </cfRule>
    <cfRule type="expression" dxfId="951" priority="19" stopIfTrue="1">
      <formula>C7=KeyPersonal</formula>
    </cfRule>
    <cfRule type="expression" dxfId="950" priority="20" stopIfTrue="1">
      <formula>C7=KeyVacation</formula>
    </cfRule>
  </conditionalFormatting>
  <conditionalFormatting sqref="AH7:AH11">
    <cfRule type="dataBar" priority="165">
      <dataBar>
        <cfvo type="min"/>
        <cfvo type="formula" val="DATEDIF(DATE(CalendarYear,2,1),DATE(CalendarYear,3,1),&quot;d&quot;)"/>
        <color theme="2" tint="-0.249977111117893"/>
      </dataBar>
      <extLst>
        <ext xmlns:x14="http://schemas.microsoft.com/office/spreadsheetml/2009/9/main" uri="{B025F937-C7B1-47D3-B67F-A62EFF666E3E}">
          <x14:id>{94738C71-AB78-40C3-A818-D083AE35CC38}</x14:id>
        </ext>
      </extLst>
    </cfRule>
  </conditionalFormatting>
  <conditionalFormatting sqref="C2">
    <cfRule type="containsText" dxfId="949" priority="2" operator="containsText" text="V">
      <formula>NOT(ISERROR(SEARCH("V",C2)))</formula>
    </cfRule>
    <cfRule type="containsText" dxfId="948" priority="3" operator="containsText" text="V">
      <formula>NOT(ISERROR(SEARCH("V",C2)))</formula>
    </cfRule>
    <cfRule type="containsText" dxfId="947" priority="9" operator="containsText" text="V">
      <formula>NOT(ISERROR(SEARCH("V",C2)))</formula>
    </cfRule>
    <cfRule type="containsText" dxfId="946" priority="10" operator="containsText" text="V">
      <formula>NOT(ISERROR(SEARCH("V",C2)))</formula>
    </cfRule>
    <cfRule type="containsText" dxfId="945" priority="11" operator="containsText" text="V">
      <formula>NOT(ISERROR(SEARCH("V",C2)))</formula>
    </cfRule>
    <cfRule type="containsText" dxfId="944" priority="12" operator="containsText" text="V">
      <formula>NOT(ISERROR(SEARCH("V",C2)))</formula>
    </cfRule>
  </conditionalFormatting>
  <conditionalFormatting sqref="F2">
    <cfRule type="containsText" dxfId="943" priority="5" operator="containsText" text="e">
      <formula>NOT(ISERROR(SEARCH("e",F2)))</formula>
    </cfRule>
    <cfRule type="cellIs" dxfId="942" priority="6" operator="equal">
      <formula>42767</formula>
    </cfRule>
    <cfRule type="containsText" dxfId="941" priority="7" operator="containsText" text="1/2">
      <formula>NOT(ISERROR(SEARCH("1/2",F2)))</formula>
    </cfRule>
    <cfRule type="containsText" dxfId="940" priority="8" operator="containsText" text="R">
      <formula>NOT(ISERROR(SEARCH("R",F2)))</formula>
    </cfRule>
  </conditionalFormatting>
  <conditionalFormatting sqref="K2">
    <cfRule type="containsText" dxfId="939" priority="1" operator="containsText" text="Z">
      <formula>NOT(ISERROR(SEARCH("Z",K2)))</formula>
    </cfRule>
    <cfRule type="containsText" dxfId="938" priority="4" operator="containsText" text="Z">
      <formula>NOT(ISERROR(SEARCH("Z",K2)))</formula>
    </cfRule>
  </conditionalFormatting>
  <dataValidations xWindow="232" yWindow="365" count="14">
    <dataValidation allowBlank="1" showInputMessage="1" showErrorMessage="1" prompt="Automatisch bijgewerkt jaar op basis van het jaar dat in het werkblad januari is ingevoerd" sqref="AH4"/>
    <dataValidation allowBlank="1" showInputMessage="1" showErrorMessage="1" prompt="Houd de afwezigheid in februari in dit werkblad bij" sqref="A1"/>
    <dataValidation allowBlank="1" showInputMessage="1" showErrorMessage="1" prompt="Berekent automatisch het totaal aantal dagen die een werknemer in deze maand niet aanwezig was in deze kolom" sqref="AH6"/>
    <dataValidation allowBlank="1" showInputMessage="1" showErrorMessage="1" prompt="De automatisch bijgewerkte titel is in deze cel opgenomen. Als u de titel wilt wijzigen, werk dan B1 in het januari-werkblad bij" sqref="B1"/>
    <dataValidation allowBlank="1" showInputMessage="1" showErrorMessage="1" prompt="De naam van de maand van deze afwezigheidsplanning is opgenomen in deze cel. Afwezigheidstotalen voor deze maand zijn opgenomen in de laatste cel van de tabel. Selecteer de werknemersnamen in tabelkolom B" sqref="B4"/>
    <dataValidation errorStyle="warning" allowBlank="1" showInputMessage="1" showErrorMessage="1" error="Selecteer een naam in de lijst. Selecteer ANNULEREN, druk dan op ALT+PIJL-OMLAAG en vervolgens op ENTER om een naam te selecteren" prompt="Voer de werknemersnamen in het werkblad met de namen van werknemers in en selecteer vervolgens een van die namen in de lijst in deze kolom. Druk op ALT+PIJL-OMLAAG en vervolgens op ENTER om een naam te selecteren" sqref="B6"/>
    <dataValidation allowBlank="1" showInputMessage="1" showErrorMessage="1" prompt="Deze rij definieert de sleutels die worden gebruikt in de tabel: cel C2 is vakantie, G2 is persoonlijk en K2 is ziekteverlof. De cellen N2 en R2 kunnen worden aangepast " sqref="B2"/>
    <dataValidation allowBlank="1" showInputMessage="1" showErrorMessage="1" prompt="Voer links een label om de aangepaste sleutel te beschrijven in" sqref="O2:P2 R2"/>
    <dataValidation allowBlank="1" showInputMessage="1" showErrorMessage="1" prompt="Voer een letter in en pas rechts het label aan om een ander sleutelitem toe te voegen" sqref="N2 Q2"/>
    <dataValidation allowBlank="1" showInputMessage="1" showErrorMessage="1" prompt="De letter &quot;Z&quot; geeft afwezigheid vanwege ziekte aan" sqref="K2"/>
    <dataValidation allowBlank="1" showInputMessage="1" showErrorMessage="1" prompt="De letter &quot;P&quot; geeft afwezigheid vanwege persoonlijke redenen aan" sqref="F2"/>
    <dataValidation allowBlank="1" showInputMessage="1" showErrorMessage="1" prompt="De letter &quot;V&quot; geeft afwezigheid vanwege vakantie aan" sqref="C2"/>
    <dataValidation allowBlank="1" showInputMessage="1" showErrorMessage="1" prompt="Weekdagen in deze rij worden voor de maand automatisch bijgewerkt op basis van het jaar in AH4. Elke dag van de maand is een kolom om de afwezigheid en het type afwezigheid van een werknemer te noteren" sqref="C5"/>
    <dataValidation allowBlank="1" showInputMessage="1" showErrorMessage="1" prompt="De dagen van de maand in deze rij worden automatisch gegenereerd. Voer de afwezigheid en het type afwezigheid van een werknemer in elke kolom voor elke dag van de maand in. Leeg betekent geen afwezigheid" sqref="C6"/>
  </dataValidations>
  <printOptions horizontalCentered="1"/>
  <pageMargins left="0.25" right="0.25" top="0.75" bottom="0.75" header="0.3" footer="0.3"/>
  <pageSetup paperSize="9" scale="72"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4738C71-AB78-40C3-A818-D083AE35CC38}">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xWindow="232" yWindow="365" count="1">
        <x14:dataValidation type="list" allowBlank="1" showInputMessage="1" showErrorMessage="1">
          <x14:formula1>
            <xm:f>Werknemersnamen!$B$4:$B$8</xm:f>
          </x14:formula1>
          <xm:sqref>B7:B11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AH12"/>
  <sheetViews>
    <sheetView showGridLines="0" zoomScaleNormal="100" workbookViewId="0">
      <selection activeCell="B2" sqref="B2:U2"/>
    </sheetView>
  </sheetViews>
  <sheetFormatPr defaultRowHeight="30" customHeight="1" x14ac:dyDescent="0.25"/>
  <cols>
    <col min="1" max="1" width="2.7109375" style="6" customWidth="1"/>
    <col min="2" max="2" width="25.7109375" style="6" customWidth="1"/>
    <col min="3" max="33" width="4.7109375" style="6" customWidth="1"/>
    <col min="34" max="34" width="20.7109375" style="6" customWidth="1"/>
    <col min="35" max="35" width="2.7109375" customWidth="1"/>
  </cols>
  <sheetData>
    <row r="1" spans="2:34" ht="50.1" customHeight="1" x14ac:dyDescent="0.25">
      <c r="B1" s="9" t="str">
        <f>Employee_Absence_Title</f>
        <v>Werknemersafwezigheidsplanning</v>
      </c>
    </row>
    <row r="2" spans="2:34" ht="15" customHeight="1" x14ac:dyDescent="0.25">
      <c r="B2" s="18"/>
      <c r="C2" s="3" t="s">
        <v>3</v>
      </c>
      <c r="D2" s="50" t="s">
        <v>61</v>
      </c>
      <c r="E2" s="51"/>
      <c r="F2" s="20" t="s">
        <v>59</v>
      </c>
      <c r="G2" s="52" t="s">
        <v>60</v>
      </c>
      <c r="H2" s="53"/>
      <c r="I2" s="53"/>
      <c r="J2" s="53"/>
      <c r="K2" s="25" t="s">
        <v>9</v>
      </c>
      <c r="L2" s="24" t="s">
        <v>15</v>
      </c>
      <c r="M2" s="23"/>
      <c r="N2" s="29" t="s">
        <v>62</v>
      </c>
      <c r="O2" s="27" t="s">
        <v>63</v>
      </c>
      <c r="P2" s="17"/>
      <c r="Q2" s="28" t="s">
        <v>65</v>
      </c>
      <c r="R2" s="54" t="s">
        <v>64</v>
      </c>
      <c r="S2" s="53"/>
      <c r="T2" s="53"/>
      <c r="U2" s="53"/>
    </row>
    <row r="3" spans="2:34" ht="15" customHeight="1" x14ac:dyDescent="0.25">
      <c r="B3" s="9"/>
    </row>
    <row r="4" spans="2:34" ht="30" customHeight="1" x14ac:dyDescent="0.25">
      <c r="B4" s="7" t="s">
        <v>43</v>
      </c>
      <c r="C4" s="55" t="s">
        <v>4</v>
      </c>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7">
        <f>CalendarYear</f>
        <v>2017</v>
      </c>
    </row>
    <row r="5" spans="2:34" ht="15" customHeight="1" x14ac:dyDescent="0.25">
      <c r="B5" s="7"/>
      <c r="C5" s="1" t="str">
        <f>TEXT(WEEKDAY(DATE(CalendarYear,3,1),1),"aaa")</f>
        <v>wo</v>
      </c>
      <c r="D5" s="1" t="str">
        <f>TEXT(WEEKDAY(DATE(CalendarYear,3,2),1),"aaa")</f>
        <v>do</v>
      </c>
      <c r="E5" s="1" t="str">
        <f>TEXT(WEEKDAY(DATE(CalendarYear,3,3),1),"aaa")</f>
        <v>vr</v>
      </c>
      <c r="F5" s="1" t="str">
        <f>TEXT(WEEKDAY(DATE(CalendarYear,3,4),1),"aaa")</f>
        <v>za</v>
      </c>
      <c r="G5" s="1" t="str">
        <f>TEXT(WEEKDAY(DATE(CalendarYear,3,5),1),"aaa")</f>
        <v>zo</v>
      </c>
      <c r="H5" s="1" t="str">
        <f>TEXT(WEEKDAY(DATE(CalendarYear,3,6),1),"aaa")</f>
        <v>ma</v>
      </c>
      <c r="I5" s="1" t="str">
        <f>TEXT(WEEKDAY(DATE(CalendarYear,3,7),1),"aaa")</f>
        <v>di</v>
      </c>
      <c r="J5" s="1" t="str">
        <f>TEXT(WEEKDAY(DATE(CalendarYear,3,8),1),"aaa")</f>
        <v>wo</v>
      </c>
      <c r="K5" s="1" t="str">
        <f>TEXT(WEEKDAY(DATE(CalendarYear,3,9),1),"aaa")</f>
        <v>do</v>
      </c>
      <c r="L5" s="1" t="str">
        <f>TEXT(WEEKDAY(DATE(CalendarYear,3,10),1),"aaa")</f>
        <v>vr</v>
      </c>
      <c r="M5" s="1" t="str">
        <f>TEXT(WEEKDAY(DATE(CalendarYear,3,11),1),"aaa")</f>
        <v>za</v>
      </c>
      <c r="N5" s="1" t="str">
        <f>TEXT(WEEKDAY(DATE(CalendarYear,3,12),1),"aaa")</f>
        <v>zo</v>
      </c>
      <c r="O5" s="1" t="str">
        <f>TEXT(WEEKDAY(DATE(CalendarYear,3,13),1),"aaa")</f>
        <v>ma</v>
      </c>
      <c r="P5" s="1" t="str">
        <f>TEXT(WEEKDAY(DATE(CalendarYear,3,14),1),"aaa")</f>
        <v>di</v>
      </c>
      <c r="Q5" s="1" t="str">
        <f>TEXT(WEEKDAY(DATE(CalendarYear,3,15),1),"aaa")</f>
        <v>wo</v>
      </c>
      <c r="R5" s="1" t="str">
        <f>TEXT(WEEKDAY(DATE(CalendarYear,3,16),1),"aaa")</f>
        <v>do</v>
      </c>
      <c r="S5" s="1" t="str">
        <f>TEXT(WEEKDAY(DATE(CalendarYear,3,17),1),"aaa")</f>
        <v>vr</v>
      </c>
      <c r="T5" s="1" t="str">
        <f>TEXT(WEEKDAY(DATE(CalendarYear,3,18),1),"aaa")</f>
        <v>za</v>
      </c>
      <c r="U5" s="1" t="str">
        <f>TEXT(WEEKDAY(DATE(CalendarYear,3,19),1),"aaa")</f>
        <v>zo</v>
      </c>
      <c r="V5" s="1" t="str">
        <f>TEXT(WEEKDAY(DATE(CalendarYear,3,20),1),"aaa")</f>
        <v>ma</v>
      </c>
      <c r="W5" s="1" t="str">
        <f>TEXT(WEEKDAY(DATE(CalendarYear,3,21),1),"aaa")</f>
        <v>di</v>
      </c>
      <c r="X5" s="1" t="str">
        <f>TEXT(WEEKDAY(DATE(CalendarYear,3,22),1),"aaa")</f>
        <v>wo</v>
      </c>
      <c r="Y5" s="1" t="str">
        <f>TEXT(WEEKDAY(DATE(CalendarYear,3,23),1),"aaa")</f>
        <v>do</v>
      </c>
      <c r="Z5" s="1" t="str">
        <f>TEXT(WEEKDAY(DATE(CalendarYear,3,24),1),"aaa")</f>
        <v>vr</v>
      </c>
      <c r="AA5" s="1" t="str">
        <f>TEXT(WEEKDAY(DATE(CalendarYear,3,25),1),"aaa")</f>
        <v>za</v>
      </c>
      <c r="AB5" s="1" t="str">
        <f>TEXT(WEEKDAY(DATE(CalendarYear,3,26),1),"aaa")</f>
        <v>zo</v>
      </c>
      <c r="AC5" s="1" t="str">
        <f>TEXT(WEEKDAY(DATE(CalendarYear,3,27),1),"aaa")</f>
        <v>ma</v>
      </c>
      <c r="AD5" s="1" t="str">
        <f>TEXT(WEEKDAY(DATE(CalendarYear,3,28),1),"aaa")</f>
        <v>di</v>
      </c>
      <c r="AE5" s="1" t="str">
        <f>TEXT(WEEKDAY(DATE(CalendarYear,3,29),1),"aaa")</f>
        <v>wo</v>
      </c>
      <c r="AF5" s="1" t="str">
        <f>TEXT(WEEKDAY(DATE(CalendarYear,3,30),1),"aaa")</f>
        <v>do</v>
      </c>
      <c r="AG5" s="1" t="str">
        <f>TEXT(WEEKDAY(DATE(CalendarYear,3,31),1),"aaa")</f>
        <v>vr</v>
      </c>
      <c r="AH5" s="7"/>
    </row>
    <row r="6" spans="2:34" ht="15" customHeight="1" x14ac:dyDescent="0.25">
      <c r="B6" s="10" t="s">
        <v>2</v>
      </c>
      <c r="C6" s="2" t="s">
        <v>5</v>
      </c>
      <c r="D6" s="2" t="s">
        <v>6</v>
      </c>
      <c r="E6" s="2" t="s">
        <v>7</v>
      </c>
      <c r="F6" s="2" t="s">
        <v>8</v>
      </c>
      <c r="G6" s="2" t="s">
        <v>10</v>
      </c>
      <c r="H6" s="2" t="s">
        <v>11</v>
      </c>
      <c r="I6" s="2" t="s">
        <v>12</v>
      </c>
      <c r="J6" s="2" t="s">
        <v>13</v>
      </c>
      <c r="K6" s="2" t="s">
        <v>14</v>
      </c>
      <c r="L6" s="2" t="s">
        <v>16</v>
      </c>
      <c r="M6" s="2" t="s">
        <v>17</v>
      </c>
      <c r="N6" s="2" t="s">
        <v>18</v>
      </c>
      <c r="O6" s="2" t="s">
        <v>19</v>
      </c>
      <c r="P6" s="2" t="s">
        <v>20</v>
      </c>
      <c r="Q6" s="2" t="s">
        <v>21</v>
      </c>
      <c r="R6" s="2" t="s">
        <v>22</v>
      </c>
      <c r="S6" s="2" t="s">
        <v>23</v>
      </c>
      <c r="T6" s="2" t="s">
        <v>24</v>
      </c>
      <c r="U6" s="2" t="s">
        <v>25</v>
      </c>
      <c r="V6" s="2" t="s">
        <v>26</v>
      </c>
      <c r="W6" s="2" t="s">
        <v>27</v>
      </c>
      <c r="X6" s="2" t="s">
        <v>28</v>
      </c>
      <c r="Y6" s="2" t="s">
        <v>29</v>
      </c>
      <c r="Z6" s="2" t="s">
        <v>30</v>
      </c>
      <c r="AA6" s="2" t="s">
        <v>31</v>
      </c>
      <c r="AB6" s="2" t="s">
        <v>32</v>
      </c>
      <c r="AC6" s="2" t="s">
        <v>33</v>
      </c>
      <c r="AD6" s="2" t="s">
        <v>34</v>
      </c>
      <c r="AE6" s="2" t="s">
        <v>35</v>
      </c>
      <c r="AF6" s="2" t="s">
        <v>36</v>
      </c>
      <c r="AG6" s="2" t="s">
        <v>37</v>
      </c>
      <c r="AH6" s="11" t="s">
        <v>39</v>
      </c>
    </row>
    <row r="7" spans="2:34" ht="30" customHeight="1" x14ac:dyDescent="0.25">
      <c r="B7" s="4" t="s">
        <v>54</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5">
        <f>COUNTA(Maart[[#This Row],[1]:[31]])</f>
        <v>0</v>
      </c>
    </row>
    <row r="8" spans="2:34" ht="30" customHeight="1" x14ac:dyDescent="0.25">
      <c r="B8" s="4" t="s">
        <v>55</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5">
        <f>COUNTA(Maart[[#This Row],[1]:[31]])</f>
        <v>0</v>
      </c>
    </row>
    <row r="9" spans="2:34" ht="30" customHeight="1" x14ac:dyDescent="0.25">
      <c r="B9" s="4" t="s">
        <v>56</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5">
        <f>COUNTA(Maart[[#This Row],[1]:[31]])</f>
        <v>0</v>
      </c>
    </row>
    <row r="10" spans="2:34" ht="30" customHeight="1" x14ac:dyDescent="0.25">
      <c r="B10" s="4" t="s">
        <v>57</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5">
        <f>COUNTA(Maart[[#This Row],[1]:[31]])</f>
        <v>0</v>
      </c>
    </row>
    <row r="11" spans="2:34" ht="30" customHeight="1" x14ac:dyDescent="0.25">
      <c r="B11" s="4" t="s">
        <v>58</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5">
        <f>COUNTA(Maart[[#This Row],[1]:[31]])</f>
        <v>0</v>
      </c>
    </row>
    <row r="12" spans="2:34" ht="30" customHeight="1" x14ac:dyDescent="0.25">
      <c r="B12" s="14" t="str">
        <f>MonthName&amp;" totaal"</f>
        <v>Maart totaal</v>
      </c>
      <c r="C12" s="8">
        <f>SUBTOTAL(103,Maart[1])</f>
        <v>0</v>
      </c>
      <c r="D12" s="8">
        <f>SUBTOTAL(103,Maart[2])</f>
        <v>0</v>
      </c>
      <c r="E12" s="8">
        <f>SUBTOTAL(103,Maart[3])</f>
        <v>0</v>
      </c>
      <c r="F12" s="8">
        <f>SUBTOTAL(103,Maart[4])</f>
        <v>0</v>
      </c>
      <c r="G12" s="8">
        <f>SUBTOTAL(103,Maart[5])</f>
        <v>0</v>
      </c>
      <c r="H12" s="8">
        <f>SUBTOTAL(103,Maart[6])</f>
        <v>0</v>
      </c>
      <c r="I12" s="8">
        <f>SUBTOTAL(103,Maart[7])</f>
        <v>0</v>
      </c>
      <c r="J12" s="8">
        <f>SUBTOTAL(103,Maart[8])</f>
        <v>0</v>
      </c>
      <c r="K12" s="8">
        <f>SUBTOTAL(103,Maart[9])</f>
        <v>0</v>
      </c>
      <c r="L12" s="8">
        <f>SUBTOTAL(103,Maart[10])</f>
        <v>0</v>
      </c>
      <c r="M12" s="8">
        <f>SUBTOTAL(103,Maart[11])</f>
        <v>0</v>
      </c>
      <c r="N12" s="8">
        <f>SUBTOTAL(103,Maart[12])</f>
        <v>0</v>
      </c>
      <c r="O12" s="8">
        <f>SUBTOTAL(103,Maart[13])</f>
        <v>0</v>
      </c>
      <c r="P12" s="8">
        <f>SUBTOTAL(103,Maart[14])</f>
        <v>0</v>
      </c>
      <c r="Q12" s="8">
        <f>SUBTOTAL(103,Maart[15])</f>
        <v>0</v>
      </c>
      <c r="R12" s="8">
        <f>SUBTOTAL(103,Maart[16])</f>
        <v>0</v>
      </c>
      <c r="S12" s="8">
        <f>SUBTOTAL(103,Maart[17])</f>
        <v>0</v>
      </c>
      <c r="T12" s="8">
        <f>SUBTOTAL(103,Maart[18])</f>
        <v>0</v>
      </c>
      <c r="U12" s="8">
        <f>SUBTOTAL(103,Maart[19])</f>
        <v>0</v>
      </c>
      <c r="V12" s="8">
        <f>SUBTOTAL(103,Maart[20])</f>
        <v>0</v>
      </c>
      <c r="W12" s="8">
        <f>SUBTOTAL(103,Maart[21])</f>
        <v>0</v>
      </c>
      <c r="X12" s="8">
        <f>SUBTOTAL(103,Maart[22])</f>
        <v>0</v>
      </c>
      <c r="Y12" s="8">
        <f>SUBTOTAL(103,Maart[23])</f>
        <v>0</v>
      </c>
      <c r="Z12" s="8">
        <f>SUBTOTAL(103,Maart[24])</f>
        <v>0</v>
      </c>
      <c r="AA12" s="8">
        <f>SUBTOTAL(103,Maart[25])</f>
        <v>0</v>
      </c>
      <c r="AB12" s="8">
        <f>SUBTOTAL(103,Maart[26])</f>
        <v>0</v>
      </c>
      <c r="AC12" s="8">
        <f>SUBTOTAL(103,Maart[27])</f>
        <v>0</v>
      </c>
      <c r="AD12" s="8">
        <f>SUBTOTAL(103,Maart[28])</f>
        <v>0</v>
      </c>
      <c r="AE12" s="8">
        <f>SUBTOTAL(103,Maart[29])</f>
        <v>0</v>
      </c>
      <c r="AF12" s="8">
        <f>SUBTOTAL(109,Maart[30])</f>
        <v>0</v>
      </c>
      <c r="AG12" s="8">
        <f>SUBTOTAL(109,Maart[31])</f>
        <v>0</v>
      </c>
      <c r="AH12" s="8">
        <f>SUBTOTAL(109,Maart[Totaal aantal dagen])</f>
        <v>0</v>
      </c>
    </row>
  </sheetData>
  <mergeCells count="4">
    <mergeCell ref="C4:AG4"/>
    <mergeCell ref="D2:E2"/>
    <mergeCell ref="G2:J2"/>
    <mergeCell ref="R2:U2"/>
  </mergeCells>
  <conditionalFormatting sqref="C7:AG11">
    <cfRule type="expression" priority="13" stopIfTrue="1">
      <formula>C7=""</formula>
    </cfRule>
  </conditionalFormatting>
  <conditionalFormatting sqref="C7:AG11">
    <cfRule type="expression" dxfId="868" priority="14" stopIfTrue="1">
      <formula>C7=KeyCustom2</formula>
    </cfRule>
    <cfRule type="expression" dxfId="867" priority="15" stopIfTrue="1">
      <formula>C7=KeyCustom1</formula>
    </cfRule>
    <cfRule type="expression" dxfId="866" priority="16" stopIfTrue="1">
      <formula>C7=KeySick</formula>
    </cfRule>
    <cfRule type="expression" dxfId="865" priority="17" stopIfTrue="1">
      <formula>C7=KeyPersonal</formula>
    </cfRule>
    <cfRule type="expression" dxfId="864" priority="18" stopIfTrue="1">
      <formula>C7=KeyVacation</formula>
    </cfRule>
  </conditionalFormatting>
  <conditionalFormatting sqref="AH7:AH11">
    <cfRule type="dataBar" priority="19">
      <dataBar>
        <cfvo type="min"/>
        <cfvo type="formula" val="DATEDIF(DATE(CalendarYear,2,1),DATE(CalendarYear,3,1),&quot;d&quot;)"/>
        <color theme="2" tint="-0.249977111117893"/>
      </dataBar>
      <extLst>
        <ext xmlns:x14="http://schemas.microsoft.com/office/spreadsheetml/2009/9/main" uri="{B025F937-C7B1-47D3-B67F-A62EFF666E3E}">
          <x14:id>{7C2B6C3E-666E-4369-8C57-FD32A7D03A3C}</x14:id>
        </ext>
      </extLst>
    </cfRule>
  </conditionalFormatting>
  <conditionalFormatting sqref="C2">
    <cfRule type="containsText" dxfId="863" priority="2" operator="containsText" text="V">
      <formula>NOT(ISERROR(SEARCH("V",C2)))</formula>
    </cfRule>
    <cfRule type="containsText" dxfId="862" priority="3" operator="containsText" text="V">
      <formula>NOT(ISERROR(SEARCH("V",C2)))</formula>
    </cfRule>
    <cfRule type="containsText" dxfId="861" priority="9" operator="containsText" text="V">
      <formula>NOT(ISERROR(SEARCH("V",C2)))</formula>
    </cfRule>
    <cfRule type="containsText" dxfId="860" priority="10" operator="containsText" text="V">
      <formula>NOT(ISERROR(SEARCH("V",C2)))</formula>
    </cfRule>
    <cfRule type="containsText" dxfId="859" priority="11" operator="containsText" text="V">
      <formula>NOT(ISERROR(SEARCH("V",C2)))</formula>
    </cfRule>
    <cfRule type="containsText" dxfId="858" priority="12" operator="containsText" text="V">
      <formula>NOT(ISERROR(SEARCH("V",C2)))</formula>
    </cfRule>
  </conditionalFormatting>
  <conditionalFormatting sqref="F2">
    <cfRule type="containsText" dxfId="857" priority="5" operator="containsText" text="e">
      <formula>NOT(ISERROR(SEARCH("e",F2)))</formula>
    </cfRule>
    <cfRule type="cellIs" dxfId="856" priority="6" operator="equal">
      <formula>42767</formula>
    </cfRule>
    <cfRule type="containsText" dxfId="855" priority="7" operator="containsText" text="1/2">
      <formula>NOT(ISERROR(SEARCH("1/2",F2)))</formula>
    </cfRule>
    <cfRule type="containsText" dxfId="854" priority="8" operator="containsText" text="R">
      <formula>NOT(ISERROR(SEARCH("R",F2)))</formula>
    </cfRule>
  </conditionalFormatting>
  <conditionalFormatting sqref="K2">
    <cfRule type="containsText" dxfId="853" priority="1" operator="containsText" text="Z">
      <formula>NOT(ISERROR(SEARCH("Z",K2)))</formula>
    </cfRule>
    <cfRule type="containsText" dxfId="852" priority="4" operator="containsText" text="Z">
      <formula>NOT(ISERROR(SEARCH("Z",K2)))</formula>
    </cfRule>
  </conditionalFormatting>
  <dataValidations count="14">
    <dataValidation allowBlank="1" showInputMessage="1" showErrorMessage="1" prompt="De dagen van de maand in deze rij worden automatisch gegenereerd. Voer de afwezigheid en het type afwezigheid van een werknemer in elke kolom voor elke dag van de maand in. Leeg betekent geen afwezigheid" sqref="C6"/>
    <dataValidation allowBlank="1" showInputMessage="1" showErrorMessage="1" prompt="Weekdagen in deze rij worden voor de maand automatisch bijgewerkt op basis van het jaar in AH4. Elke dag van de maand is een kolom om de afwezigheid en het type afwezigheid van een werknemer te noteren" sqref="C5"/>
    <dataValidation allowBlank="1" showInputMessage="1" showErrorMessage="1" prompt="De naam van de maand van deze afwezigheidsplanning is opgenomen in deze cel. Afwezigheidstotalen voor deze maand zijn opgenomen in de laatste cel van de tabel. Selecteer de werknemersnamen in tabelkolom B" sqref="B4"/>
    <dataValidation allowBlank="1" showInputMessage="1" showErrorMessage="1" prompt="Deze rij definieert de sleutels die worden gebruikt in de tabel: cel C2 is vakantie, G2 is persoonlijk en K2 is ziekteverlof. De cellen N2 en R2 kunnen worden aangepast " sqref="B2"/>
    <dataValidation allowBlank="1" showInputMessage="1" showErrorMessage="1" prompt="Voer links een label om de aangepaste sleutel te beschrijven in" sqref="O2:P2 R2"/>
    <dataValidation allowBlank="1" showInputMessage="1" showErrorMessage="1" prompt="Voer een letter in en pas rechts het label aan om een ander sleutelitem toe te voegen" sqref="N2 Q2"/>
    <dataValidation allowBlank="1" showInputMessage="1" showErrorMessage="1" prompt="De letter &quot;Z&quot; geeft afwezigheid vanwege ziekte aan" sqref="K2"/>
    <dataValidation allowBlank="1" showInputMessage="1" showErrorMessage="1" prompt="De letter &quot;P&quot; geeft afwezigheid vanwege persoonlijke redenen aan" sqref="F2"/>
    <dataValidation allowBlank="1" showInputMessage="1" showErrorMessage="1" prompt="De letter &quot;V&quot; geeft afwezigheid vanwege vakantie aan" sqref="C2"/>
    <dataValidation allowBlank="1" showInputMessage="1" showErrorMessage="1" prompt="De automatisch bijgewerkte titel is in deze cel opgenomen. Als u de titel wilt wijzigen, werk dan B1 in het januari-werkblad bij" sqref="B1"/>
    <dataValidation errorStyle="warning" allowBlank="1" showInputMessage="1" showErrorMessage="1" error="Selecteer een naam in de lijst. Selecteer ANNULEREN, druk dan op ALT+PIJL-OMLAAG en vervolgens op ENTER om een naam te selecteren" prompt="Voer de werknemersnamen in het werkblad met de namen van werknemers in en selecteer vervolgens een van die namen in de lijst in deze kolom. Druk op ALT+PIJL-OMLAAG en vervolgens op ENTER om een naam te selecteren" sqref="B6"/>
    <dataValidation allowBlank="1" showInputMessage="1" showErrorMessage="1" prompt="Houd de afwezigheid in maart in dit werkblad bij" sqref="A1"/>
    <dataValidation allowBlank="1" showInputMessage="1" showErrorMessage="1" prompt="Berekent automatisch het totaal aantal dagen die een werknemer in deze maand niet aanwezig was in deze kolom" sqref="AH6"/>
    <dataValidation allowBlank="1" showInputMessage="1" showErrorMessage="1" prompt="Automatisch bijgewerkt jaar op basis van het jaar dat in het werkblad januari is ingevoerd" sqref="AH4"/>
  </dataValidations>
  <printOptions horizontalCentered="1"/>
  <pageMargins left="0.25" right="0.25" top="0.75" bottom="0.75" header="0.3" footer="0.3"/>
  <pageSetup paperSize="9" scale="72"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7C2B6C3E-666E-4369-8C57-FD32A7D03A3C}">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Werknemersnamen!$B$4:$B$8</xm:f>
          </x14:formula1>
          <xm:sqref>B7:B11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AH12"/>
  <sheetViews>
    <sheetView showGridLines="0" zoomScaleNormal="100" workbookViewId="0">
      <selection activeCell="B2" sqref="B2:U2"/>
    </sheetView>
  </sheetViews>
  <sheetFormatPr defaultRowHeight="30" customHeight="1" x14ac:dyDescent="0.25"/>
  <cols>
    <col min="1" max="1" width="2.7109375" style="6" customWidth="1"/>
    <col min="2" max="2" width="25.7109375" style="6" customWidth="1"/>
    <col min="3" max="33" width="4.7109375" style="6" customWidth="1"/>
    <col min="34" max="34" width="20.7109375" style="6" customWidth="1"/>
    <col min="35" max="35" width="2.7109375" customWidth="1"/>
  </cols>
  <sheetData>
    <row r="1" spans="2:34" ht="50.1" customHeight="1" x14ac:dyDescent="0.25">
      <c r="B1" s="9" t="str">
        <f>Employee_Absence_Title</f>
        <v>Werknemersafwezigheidsplanning</v>
      </c>
    </row>
    <row r="2" spans="2:34" ht="15" customHeight="1" x14ac:dyDescent="0.25">
      <c r="B2" s="18"/>
      <c r="C2" s="3" t="s">
        <v>3</v>
      </c>
      <c r="D2" s="50" t="s">
        <v>61</v>
      </c>
      <c r="E2" s="51"/>
      <c r="F2" s="20" t="s">
        <v>59</v>
      </c>
      <c r="G2" s="52" t="s">
        <v>60</v>
      </c>
      <c r="H2" s="53"/>
      <c r="I2" s="53"/>
      <c r="J2" s="53"/>
      <c r="K2" s="25" t="s">
        <v>9</v>
      </c>
      <c r="L2" s="24" t="s">
        <v>15</v>
      </c>
      <c r="M2" s="23"/>
      <c r="N2" s="29" t="s">
        <v>62</v>
      </c>
      <c r="O2" s="27" t="s">
        <v>63</v>
      </c>
      <c r="P2" s="17"/>
      <c r="Q2" s="28" t="s">
        <v>65</v>
      </c>
      <c r="R2" s="54" t="s">
        <v>64</v>
      </c>
      <c r="S2" s="53"/>
      <c r="T2" s="53"/>
      <c r="U2" s="53"/>
    </row>
    <row r="3" spans="2:34" ht="15" customHeight="1" x14ac:dyDescent="0.25">
      <c r="B3" s="9"/>
    </row>
    <row r="4" spans="2:34" ht="30" customHeight="1" x14ac:dyDescent="0.25">
      <c r="B4" s="7" t="s">
        <v>44</v>
      </c>
      <c r="C4" s="55" t="s">
        <v>4</v>
      </c>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7">
        <f>CalendarYear</f>
        <v>2017</v>
      </c>
    </row>
    <row r="5" spans="2:34" ht="15" customHeight="1" x14ac:dyDescent="0.25">
      <c r="B5" s="7"/>
      <c r="C5" s="1" t="str">
        <f>TEXT(WEEKDAY(DATE(CalendarYear,4,1),1),"aaa")</f>
        <v>za</v>
      </c>
      <c r="D5" s="1" t="str">
        <f>TEXT(WEEKDAY(DATE(CalendarYear,4,2),1),"aaa")</f>
        <v>zo</v>
      </c>
      <c r="E5" s="1" t="str">
        <f>TEXT(WEEKDAY(DATE(CalendarYear,4,3),1),"aaa")</f>
        <v>ma</v>
      </c>
      <c r="F5" s="1" t="str">
        <f>TEXT(WEEKDAY(DATE(CalendarYear,4,4),1),"aaa")</f>
        <v>di</v>
      </c>
      <c r="G5" s="1" t="str">
        <f>TEXT(WEEKDAY(DATE(CalendarYear,4,5),1),"aaa")</f>
        <v>wo</v>
      </c>
      <c r="H5" s="1" t="str">
        <f>TEXT(WEEKDAY(DATE(CalendarYear,4,6),1),"aaa")</f>
        <v>do</v>
      </c>
      <c r="I5" s="1" t="str">
        <f>TEXT(WEEKDAY(DATE(CalendarYear,4,7),1),"aaa")</f>
        <v>vr</v>
      </c>
      <c r="J5" s="1" t="str">
        <f>TEXT(WEEKDAY(DATE(CalendarYear,4,8),1),"aaa")</f>
        <v>za</v>
      </c>
      <c r="K5" s="1" t="str">
        <f>TEXT(WEEKDAY(DATE(CalendarYear,4,9),1),"aaa")</f>
        <v>zo</v>
      </c>
      <c r="L5" s="1" t="str">
        <f>TEXT(WEEKDAY(DATE(CalendarYear,4,10),1),"aaa")</f>
        <v>ma</v>
      </c>
      <c r="M5" s="1" t="str">
        <f>TEXT(WEEKDAY(DATE(CalendarYear,4,11),1),"aaa")</f>
        <v>di</v>
      </c>
      <c r="N5" s="1" t="str">
        <f>TEXT(WEEKDAY(DATE(CalendarYear,4,12),1),"aaa")</f>
        <v>wo</v>
      </c>
      <c r="O5" s="1" t="str">
        <f>TEXT(WEEKDAY(DATE(CalendarYear,4,13),1),"aaa")</f>
        <v>do</v>
      </c>
      <c r="P5" s="1" t="str">
        <f>TEXT(WEEKDAY(DATE(CalendarYear,4,14),1),"aaa")</f>
        <v>vr</v>
      </c>
      <c r="Q5" s="1" t="str">
        <f>TEXT(WEEKDAY(DATE(CalendarYear,4,15),1),"aaa")</f>
        <v>za</v>
      </c>
      <c r="R5" s="1" t="str">
        <f>TEXT(WEEKDAY(DATE(CalendarYear,4,16),1),"aaa")</f>
        <v>zo</v>
      </c>
      <c r="S5" s="1" t="str">
        <f>TEXT(WEEKDAY(DATE(CalendarYear,4,17),1),"aaa")</f>
        <v>ma</v>
      </c>
      <c r="T5" s="1" t="str">
        <f>TEXT(WEEKDAY(DATE(CalendarYear,4,18),1),"aaa")</f>
        <v>di</v>
      </c>
      <c r="U5" s="1" t="str">
        <f>TEXT(WEEKDAY(DATE(CalendarYear,4,19),1),"aaa")</f>
        <v>wo</v>
      </c>
      <c r="V5" s="1" t="str">
        <f>TEXT(WEEKDAY(DATE(CalendarYear,4,20),1),"aaa")</f>
        <v>do</v>
      </c>
      <c r="W5" s="1" t="str">
        <f>TEXT(WEEKDAY(DATE(CalendarYear,4,21),1),"aaa")</f>
        <v>vr</v>
      </c>
      <c r="X5" s="1" t="str">
        <f>TEXT(WEEKDAY(DATE(CalendarYear,4,22),1),"aaa")</f>
        <v>za</v>
      </c>
      <c r="Y5" s="1" t="str">
        <f>TEXT(WEEKDAY(DATE(CalendarYear,4,23),1),"aaa")</f>
        <v>zo</v>
      </c>
      <c r="Z5" s="1" t="str">
        <f>TEXT(WEEKDAY(DATE(CalendarYear,4,24),1),"aaa")</f>
        <v>ma</v>
      </c>
      <c r="AA5" s="1" t="str">
        <f>TEXT(WEEKDAY(DATE(CalendarYear,4,25),1),"aaa")</f>
        <v>di</v>
      </c>
      <c r="AB5" s="1" t="str">
        <f>TEXT(WEEKDAY(DATE(CalendarYear,4,26),1),"aaa")</f>
        <v>wo</v>
      </c>
      <c r="AC5" s="1" t="str">
        <f>TEXT(WEEKDAY(DATE(CalendarYear,4,27),1),"aaa")</f>
        <v>do</v>
      </c>
      <c r="AD5" s="1" t="str">
        <f>TEXT(WEEKDAY(DATE(CalendarYear,4,28),1),"aaa")</f>
        <v>vr</v>
      </c>
      <c r="AE5" s="1" t="str">
        <f>TEXT(WEEKDAY(DATE(CalendarYear,4,29),1),"aaa")</f>
        <v>za</v>
      </c>
      <c r="AF5" s="1" t="str">
        <f>TEXT(WEEKDAY(DATE(CalendarYear,4,30),1),"aaa")</f>
        <v>zo</v>
      </c>
      <c r="AG5" s="1"/>
      <c r="AH5" s="7"/>
    </row>
    <row r="6" spans="2:34" ht="15" customHeight="1" x14ac:dyDescent="0.25">
      <c r="B6" s="10" t="s">
        <v>2</v>
      </c>
      <c r="C6" s="2" t="s">
        <v>5</v>
      </c>
      <c r="D6" s="2" t="s">
        <v>6</v>
      </c>
      <c r="E6" s="2" t="s">
        <v>7</v>
      </c>
      <c r="F6" s="2" t="s">
        <v>8</v>
      </c>
      <c r="G6" s="2" t="s">
        <v>10</v>
      </c>
      <c r="H6" s="2" t="s">
        <v>11</v>
      </c>
      <c r="I6" s="2" t="s">
        <v>12</v>
      </c>
      <c r="J6" s="2" t="s">
        <v>13</v>
      </c>
      <c r="K6" s="2" t="s">
        <v>14</v>
      </c>
      <c r="L6" s="2" t="s">
        <v>16</v>
      </c>
      <c r="M6" s="2" t="s">
        <v>17</v>
      </c>
      <c r="N6" s="2" t="s">
        <v>18</v>
      </c>
      <c r="O6" s="2" t="s">
        <v>19</v>
      </c>
      <c r="P6" s="2" t="s">
        <v>20</v>
      </c>
      <c r="Q6" s="2" t="s">
        <v>21</v>
      </c>
      <c r="R6" s="2" t="s">
        <v>22</v>
      </c>
      <c r="S6" s="2" t="s">
        <v>23</v>
      </c>
      <c r="T6" s="2" t="s">
        <v>24</v>
      </c>
      <c r="U6" s="2" t="s">
        <v>25</v>
      </c>
      <c r="V6" s="2" t="s">
        <v>26</v>
      </c>
      <c r="W6" s="2" t="s">
        <v>27</v>
      </c>
      <c r="X6" s="2" t="s">
        <v>28</v>
      </c>
      <c r="Y6" s="2" t="s">
        <v>29</v>
      </c>
      <c r="Z6" s="2" t="s">
        <v>30</v>
      </c>
      <c r="AA6" s="2" t="s">
        <v>31</v>
      </c>
      <c r="AB6" s="2" t="s">
        <v>32</v>
      </c>
      <c r="AC6" s="2" t="s">
        <v>33</v>
      </c>
      <c r="AD6" s="2" t="s">
        <v>34</v>
      </c>
      <c r="AE6" s="2" t="s">
        <v>35</v>
      </c>
      <c r="AF6" s="2" t="s">
        <v>36</v>
      </c>
      <c r="AG6" s="2" t="s">
        <v>37</v>
      </c>
      <c r="AH6" s="11" t="s">
        <v>39</v>
      </c>
    </row>
    <row r="7" spans="2:34" ht="30" customHeight="1" x14ac:dyDescent="0.25">
      <c r="B7" s="4" t="s">
        <v>54</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5">
        <f>COUNTA(April[[#This Row],[1]:[31]])</f>
        <v>0</v>
      </c>
    </row>
    <row r="8" spans="2:34" ht="30" customHeight="1" x14ac:dyDescent="0.25">
      <c r="B8" s="4" t="s">
        <v>55</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5">
        <f>COUNTA(April[[#This Row],[1]:[31]])</f>
        <v>0</v>
      </c>
    </row>
    <row r="9" spans="2:34" ht="30" customHeight="1" x14ac:dyDescent="0.25">
      <c r="B9" s="4" t="s">
        <v>56</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5">
        <f>COUNTA(April[[#This Row],[1]:[31]])</f>
        <v>0</v>
      </c>
    </row>
    <row r="10" spans="2:34" ht="30" customHeight="1" x14ac:dyDescent="0.25">
      <c r="B10" s="4" t="s">
        <v>57</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5">
        <f>COUNTA(April[[#This Row],[1]:[31]])</f>
        <v>0</v>
      </c>
    </row>
    <row r="11" spans="2:34" ht="30" customHeight="1" x14ac:dyDescent="0.25">
      <c r="B11" s="4" t="s">
        <v>58</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5">
        <f>COUNTA(April[[#This Row],[1]:[31]])</f>
        <v>0</v>
      </c>
    </row>
    <row r="12" spans="2:34" ht="30" customHeight="1" x14ac:dyDescent="0.25">
      <c r="B12" s="14" t="str">
        <f>MonthName&amp;" totaal"</f>
        <v>April totaal</v>
      </c>
      <c r="C12" s="8">
        <f>SUBTOTAL(103,April[1])</f>
        <v>0</v>
      </c>
      <c r="D12" s="8">
        <f>SUBTOTAL(103,April[2])</f>
        <v>0</v>
      </c>
      <c r="E12" s="8">
        <f>SUBTOTAL(103,April[3])</f>
        <v>0</v>
      </c>
      <c r="F12" s="8">
        <f>SUBTOTAL(103,April[4])</f>
        <v>0</v>
      </c>
      <c r="G12" s="8">
        <f>SUBTOTAL(103,April[5])</f>
        <v>0</v>
      </c>
      <c r="H12" s="8">
        <f>SUBTOTAL(103,April[6])</f>
        <v>0</v>
      </c>
      <c r="I12" s="8">
        <f>SUBTOTAL(103,April[7])</f>
        <v>0</v>
      </c>
      <c r="J12" s="8">
        <f>SUBTOTAL(103,April[8])</f>
        <v>0</v>
      </c>
      <c r="K12" s="8">
        <f>SUBTOTAL(103,April[9])</f>
        <v>0</v>
      </c>
      <c r="L12" s="8">
        <f>SUBTOTAL(103,April[10])</f>
        <v>0</v>
      </c>
      <c r="M12" s="8">
        <f>SUBTOTAL(103,April[11])</f>
        <v>0</v>
      </c>
      <c r="N12" s="8">
        <f>SUBTOTAL(103,April[12])</f>
        <v>0</v>
      </c>
      <c r="O12" s="8">
        <f>SUBTOTAL(103,April[13])</f>
        <v>0</v>
      </c>
      <c r="P12" s="8">
        <f>SUBTOTAL(103,April[14])</f>
        <v>0</v>
      </c>
      <c r="Q12" s="8">
        <f>SUBTOTAL(103,April[15])</f>
        <v>0</v>
      </c>
      <c r="R12" s="8">
        <f>SUBTOTAL(103,April[16])</f>
        <v>0</v>
      </c>
      <c r="S12" s="8">
        <f>SUBTOTAL(103,April[17])</f>
        <v>0</v>
      </c>
      <c r="T12" s="8">
        <f>SUBTOTAL(103,April[18])</f>
        <v>0</v>
      </c>
      <c r="U12" s="8">
        <f>SUBTOTAL(103,April[19])</f>
        <v>0</v>
      </c>
      <c r="V12" s="8">
        <f>SUBTOTAL(103,April[20])</f>
        <v>0</v>
      </c>
      <c r="W12" s="8">
        <f>SUBTOTAL(103,April[21])</f>
        <v>0</v>
      </c>
      <c r="X12" s="8">
        <f>SUBTOTAL(103,April[22])</f>
        <v>0</v>
      </c>
      <c r="Y12" s="8">
        <f>SUBTOTAL(103,April[23])</f>
        <v>0</v>
      </c>
      <c r="Z12" s="8">
        <f>SUBTOTAL(103,April[24])</f>
        <v>0</v>
      </c>
      <c r="AA12" s="8">
        <f>SUBTOTAL(103,April[25])</f>
        <v>0</v>
      </c>
      <c r="AB12" s="8">
        <f>SUBTOTAL(103,April[26])</f>
        <v>0</v>
      </c>
      <c r="AC12" s="8">
        <f>SUBTOTAL(103,April[27])</f>
        <v>0</v>
      </c>
      <c r="AD12" s="8">
        <f>SUBTOTAL(103,April[28])</f>
        <v>0</v>
      </c>
      <c r="AE12" s="8">
        <f>SUBTOTAL(103,April[29])</f>
        <v>0</v>
      </c>
      <c r="AF12" s="8">
        <f>SUBTOTAL(109,April[30])</f>
        <v>0</v>
      </c>
      <c r="AG12" s="8">
        <f>SUBTOTAL(109,April[31])</f>
        <v>0</v>
      </c>
      <c r="AH12" s="8">
        <f>SUBTOTAL(109,April[Totaal aantal dagen])</f>
        <v>0</v>
      </c>
    </row>
  </sheetData>
  <mergeCells count="4">
    <mergeCell ref="C4:AG4"/>
    <mergeCell ref="D2:E2"/>
    <mergeCell ref="G2:J2"/>
    <mergeCell ref="R2:U2"/>
  </mergeCells>
  <conditionalFormatting sqref="C7:AG11">
    <cfRule type="expression" priority="13" stopIfTrue="1">
      <formula>C7=""</formula>
    </cfRule>
  </conditionalFormatting>
  <conditionalFormatting sqref="C7:AG11">
    <cfRule type="expression" dxfId="782" priority="14" stopIfTrue="1">
      <formula>C7=KeyCustom2</formula>
    </cfRule>
    <cfRule type="expression" dxfId="781" priority="15" stopIfTrue="1">
      <formula>C7=KeyCustom1</formula>
    </cfRule>
    <cfRule type="expression" dxfId="780" priority="16" stopIfTrue="1">
      <formula>C7=KeySick</formula>
    </cfRule>
    <cfRule type="expression" dxfId="779" priority="17" stopIfTrue="1">
      <formula>C7=KeyPersonal</formula>
    </cfRule>
    <cfRule type="expression" dxfId="778" priority="18" stopIfTrue="1">
      <formula>C7=KeyVacation</formula>
    </cfRule>
  </conditionalFormatting>
  <conditionalFormatting sqref="AH7:AH11">
    <cfRule type="dataBar" priority="19">
      <dataBar>
        <cfvo type="min"/>
        <cfvo type="formula" val="DATEDIF(DATE(CalendarYear,2,1),DATE(CalendarYear,3,1),&quot;d&quot;)"/>
        <color theme="2" tint="-0.249977111117893"/>
      </dataBar>
      <extLst>
        <ext xmlns:x14="http://schemas.microsoft.com/office/spreadsheetml/2009/9/main" uri="{B025F937-C7B1-47D3-B67F-A62EFF666E3E}">
          <x14:id>{0C86709F-D813-4066-A3F1-C30F11214F4B}</x14:id>
        </ext>
      </extLst>
    </cfRule>
  </conditionalFormatting>
  <conditionalFormatting sqref="C2">
    <cfRule type="containsText" dxfId="777" priority="2" operator="containsText" text="V">
      <formula>NOT(ISERROR(SEARCH("V",C2)))</formula>
    </cfRule>
    <cfRule type="containsText" dxfId="776" priority="3" operator="containsText" text="V">
      <formula>NOT(ISERROR(SEARCH("V",C2)))</formula>
    </cfRule>
    <cfRule type="containsText" dxfId="775" priority="9" operator="containsText" text="V">
      <formula>NOT(ISERROR(SEARCH("V",C2)))</formula>
    </cfRule>
    <cfRule type="containsText" dxfId="774" priority="10" operator="containsText" text="V">
      <formula>NOT(ISERROR(SEARCH("V",C2)))</formula>
    </cfRule>
    <cfRule type="containsText" dxfId="773" priority="11" operator="containsText" text="V">
      <formula>NOT(ISERROR(SEARCH("V",C2)))</formula>
    </cfRule>
    <cfRule type="containsText" dxfId="772" priority="12" operator="containsText" text="V">
      <formula>NOT(ISERROR(SEARCH("V",C2)))</formula>
    </cfRule>
  </conditionalFormatting>
  <conditionalFormatting sqref="F2">
    <cfRule type="containsText" dxfId="771" priority="5" operator="containsText" text="e">
      <formula>NOT(ISERROR(SEARCH("e",F2)))</formula>
    </cfRule>
    <cfRule type="cellIs" dxfId="770" priority="6" operator="equal">
      <formula>42767</formula>
    </cfRule>
    <cfRule type="containsText" dxfId="769" priority="7" operator="containsText" text="1/2">
      <formula>NOT(ISERROR(SEARCH("1/2",F2)))</formula>
    </cfRule>
    <cfRule type="containsText" dxfId="768" priority="8" operator="containsText" text="R">
      <formula>NOT(ISERROR(SEARCH("R",F2)))</formula>
    </cfRule>
  </conditionalFormatting>
  <conditionalFormatting sqref="K2">
    <cfRule type="containsText" dxfId="767" priority="1" operator="containsText" text="Z">
      <formula>NOT(ISERROR(SEARCH("Z",K2)))</formula>
    </cfRule>
    <cfRule type="containsText" dxfId="766" priority="4" operator="containsText" text="Z">
      <formula>NOT(ISERROR(SEARCH("Z",K2)))</formula>
    </cfRule>
  </conditionalFormatting>
  <dataValidations count="14">
    <dataValidation allowBlank="1" showInputMessage="1" showErrorMessage="1" prompt="Automatisch bijgewerkt jaar op basis van het jaar dat in het werkblad januari is ingevoerd" sqref="AH4"/>
    <dataValidation allowBlank="1" showInputMessage="1" showErrorMessage="1" prompt="Berekent automatisch het totaal aantal dagen die een werknemer in deze maand niet aanwezig was in deze kolom" sqref="AH6"/>
    <dataValidation allowBlank="1" showInputMessage="1" showErrorMessage="1" prompt="Houd de afwezigheid in april in dit werkblad bij" sqref="A1"/>
    <dataValidation errorStyle="warning" allowBlank="1" showInputMessage="1" showErrorMessage="1" error="Selecteer een naam in de lijst. Selecteer ANNULEREN, druk dan op ALT+PIJL-OMLAAG en vervolgens op ENTER om een naam te selecteren" prompt="Voer de werknemersnamen in het werkblad met de namen van werknemers in en selecteer vervolgens een van die namen in de lijst in deze kolom. Druk op ALT+PIJL-OMLAAG en vervolgens op ENTER om een naam te selecteren" sqref="B6"/>
    <dataValidation allowBlank="1" showInputMessage="1" showErrorMessage="1" prompt="De automatisch bijgewerkte titel is in deze cel opgenomen. Als u de titel wilt wijzigen, werk dan B1 in het januari-werkblad bij" sqref="B1"/>
    <dataValidation allowBlank="1" showInputMessage="1" showErrorMessage="1" prompt="De letter &quot;V&quot; geeft afwezigheid vanwege vakantie aan" sqref="C2"/>
    <dataValidation allowBlank="1" showInputMessage="1" showErrorMessage="1" prompt="De letter &quot;P&quot; geeft afwezigheid vanwege persoonlijke redenen aan" sqref="F2"/>
    <dataValidation allowBlank="1" showInputMessage="1" showErrorMessage="1" prompt="De letter &quot;Z&quot; geeft afwezigheid vanwege ziekte aan" sqref="K2"/>
    <dataValidation allowBlank="1" showInputMessage="1" showErrorMessage="1" prompt="Voer een letter in en pas rechts het label aan om een ander sleutelitem toe te voegen" sqref="N2 Q2"/>
    <dataValidation allowBlank="1" showInputMessage="1" showErrorMessage="1" prompt="Voer links een label om de aangepaste sleutel te beschrijven in" sqref="O2:P2 R2"/>
    <dataValidation allowBlank="1" showInputMessage="1" showErrorMessage="1" prompt="Deze rij definieert de sleutels die worden gebruikt in de tabel: cel C2 is vakantie, G2 is persoonlijk en K2 is ziekteverlof. De cellen N2 en R2 kunnen worden aangepast " sqref="B2"/>
    <dataValidation allowBlank="1" showInputMessage="1" showErrorMessage="1" prompt="De naam van de maand van deze afwezigheidsplanning is opgenomen in deze cel. Afwezigheidstotalen voor deze maand zijn opgenomen in de laatste cel van de tabel. Selecteer de werknemersnamen in tabelkolom B" sqref="B4"/>
    <dataValidation allowBlank="1" showInputMessage="1" showErrorMessage="1" prompt="De dagen van de maand in deze rij worden automatisch gegenereerd. Voer de afwezigheid en het type afwezigheid van een werknemer in elke kolom voor elke dag van de maand in. Leeg betekent geen afwezigheid" sqref="C6"/>
    <dataValidation allowBlank="1" showInputMessage="1" showErrorMessage="1" prompt="Weekdagen in deze rij worden voor de maand automatisch bijgewerkt op basis van het jaar in AH4. Elke dag van de maand is een kolom om de afwezigheid en het type afwezigheid van een werknemer te noteren" sqref="C5"/>
  </dataValidations>
  <printOptions horizontalCentered="1"/>
  <pageMargins left="0.25" right="0.25" top="0.75" bottom="0.75" header="0.3" footer="0.3"/>
  <pageSetup paperSize="9" scale="72"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0C86709F-D813-4066-A3F1-C30F11214F4B}">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Werknemersnamen!$B$4:$B$8</xm:f>
          </x14:formula1>
          <xm:sqref>B7:B11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AH12"/>
  <sheetViews>
    <sheetView showGridLines="0" zoomScaleNormal="100" workbookViewId="0">
      <selection activeCell="B2" sqref="B2:U2"/>
    </sheetView>
  </sheetViews>
  <sheetFormatPr defaultRowHeight="30" customHeight="1" x14ac:dyDescent="0.25"/>
  <cols>
    <col min="1" max="1" width="2.7109375" style="6" customWidth="1"/>
    <col min="2" max="2" width="25.7109375" style="6" customWidth="1"/>
    <col min="3" max="33" width="4.7109375" style="6" customWidth="1"/>
    <col min="34" max="34" width="20.7109375" style="6" customWidth="1"/>
    <col min="35" max="35" width="2.7109375" customWidth="1"/>
  </cols>
  <sheetData>
    <row r="1" spans="2:34" ht="50.1" customHeight="1" x14ac:dyDescent="0.25">
      <c r="B1" s="9" t="str">
        <f>Employee_Absence_Title</f>
        <v>Werknemersafwezigheidsplanning</v>
      </c>
    </row>
    <row r="2" spans="2:34" ht="15" customHeight="1" x14ac:dyDescent="0.25">
      <c r="B2" s="18"/>
      <c r="C2" s="3" t="s">
        <v>3</v>
      </c>
      <c r="D2" s="50" t="s">
        <v>61</v>
      </c>
      <c r="E2" s="51"/>
      <c r="F2" s="20" t="s">
        <v>59</v>
      </c>
      <c r="G2" s="52" t="s">
        <v>60</v>
      </c>
      <c r="H2" s="53"/>
      <c r="I2" s="53"/>
      <c r="J2" s="53"/>
      <c r="K2" s="25" t="s">
        <v>9</v>
      </c>
      <c r="L2" s="24" t="s">
        <v>15</v>
      </c>
      <c r="M2" s="23"/>
      <c r="N2" s="29" t="s">
        <v>62</v>
      </c>
      <c r="O2" s="27" t="s">
        <v>63</v>
      </c>
      <c r="P2" s="17"/>
      <c r="Q2" s="28" t="s">
        <v>65</v>
      </c>
      <c r="R2" s="54" t="s">
        <v>64</v>
      </c>
      <c r="S2" s="53"/>
      <c r="T2" s="53"/>
      <c r="U2" s="53"/>
    </row>
    <row r="3" spans="2:34" ht="15" customHeight="1" x14ac:dyDescent="0.25">
      <c r="B3" s="9"/>
    </row>
    <row r="4" spans="2:34" ht="30" customHeight="1" x14ac:dyDescent="0.25">
      <c r="B4" s="7" t="s">
        <v>52</v>
      </c>
      <c r="C4" s="55" t="s">
        <v>4</v>
      </c>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7">
        <f>CalendarYear</f>
        <v>2017</v>
      </c>
    </row>
    <row r="5" spans="2:34" ht="15" customHeight="1" x14ac:dyDescent="0.25">
      <c r="B5" s="7"/>
      <c r="C5" s="1" t="str">
        <f>TEXT(WEEKDAY(DATE(CalendarYear,5,1),1),"aaa")</f>
        <v>ma</v>
      </c>
      <c r="D5" s="1" t="str">
        <f>TEXT(WEEKDAY(DATE(CalendarYear,5,2),1),"aaa")</f>
        <v>di</v>
      </c>
      <c r="E5" s="1" t="str">
        <f>TEXT(WEEKDAY(DATE(CalendarYear,5,3),1),"aaa")</f>
        <v>wo</v>
      </c>
      <c r="F5" s="1" t="str">
        <f>TEXT(WEEKDAY(DATE(CalendarYear,5,4),1),"aaa")</f>
        <v>do</v>
      </c>
      <c r="G5" s="1" t="str">
        <f>TEXT(WEEKDAY(DATE(CalendarYear,5,5),1),"aaa")</f>
        <v>vr</v>
      </c>
      <c r="H5" s="1" t="str">
        <f>TEXT(WEEKDAY(DATE(CalendarYear,5,6),1),"aaa")</f>
        <v>za</v>
      </c>
      <c r="I5" s="1" t="str">
        <f>TEXT(WEEKDAY(DATE(CalendarYear,5,7),1),"aaa")</f>
        <v>zo</v>
      </c>
      <c r="J5" s="1" t="str">
        <f>TEXT(WEEKDAY(DATE(CalendarYear,5,8),1),"aaa")</f>
        <v>ma</v>
      </c>
      <c r="K5" s="1" t="str">
        <f>TEXT(WEEKDAY(DATE(CalendarYear,5,9),1),"aaa")</f>
        <v>di</v>
      </c>
      <c r="L5" s="1" t="str">
        <f>TEXT(WEEKDAY(DATE(CalendarYear,5,10),1),"aaa")</f>
        <v>wo</v>
      </c>
      <c r="M5" s="1" t="str">
        <f>TEXT(WEEKDAY(DATE(CalendarYear,5,11),1),"aaa")</f>
        <v>do</v>
      </c>
      <c r="N5" s="1" t="str">
        <f>TEXT(WEEKDAY(DATE(CalendarYear,5,12),1),"aaa")</f>
        <v>vr</v>
      </c>
      <c r="O5" s="1" t="str">
        <f>TEXT(WEEKDAY(DATE(CalendarYear,5,13),1),"aaa")</f>
        <v>za</v>
      </c>
      <c r="P5" s="1" t="str">
        <f>TEXT(WEEKDAY(DATE(CalendarYear,5,14),1),"aaa")</f>
        <v>zo</v>
      </c>
      <c r="Q5" s="1" t="str">
        <f>TEXT(WEEKDAY(DATE(CalendarYear,5,15),1),"aaa")</f>
        <v>ma</v>
      </c>
      <c r="R5" s="1" t="str">
        <f>TEXT(WEEKDAY(DATE(CalendarYear,5,16),1),"aaa")</f>
        <v>di</v>
      </c>
      <c r="S5" s="1" t="str">
        <f>TEXT(WEEKDAY(DATE(CalendarYear,5,17),1),"aaa")</f>
        <v>wo</v>
      </c>
      <c r="T5" s="1" t="str">
        <f>TEXT(WEEKDAY(DATE(CalendarYear,5,18),1),"aaa")</f>
        <v>do</v>
      </c>
      <c r="U5" s="1" t="str">
        <f>TEXT(WEEKDAY(DATE(CalendarYear,5,19),1),"aaa")</f>
        <v>vr</v>
      </c>
      <c r="V5" s="1" t="str">
        <f>TEXT(WEEKDAY(DATE(CalendarYear,5,20),1),"aaa")</f>
        <v>za</v>
      </c>
      <c r="W5" s="1" t="str">
        <f>TEXT(WEEKDAY(DATE(CalendarYear,5,21),1),"aaa")</f>
        <v>zo</v>
      </c>
      <c r="X5" s="1" t="str">
        <f>TEXT(WEEKDAY(DATE(CalendarYear,5,22),1),"aaa")</f>
        <v>ma</v>
      </c>
      <c r="Y5" s="1" t="str">
        <f>TEXT(WEEKDAY(DATE(CalendarYear,5,23),1),"aaa")</f>
        <v>di</v>
      </c>
      <c r="Z5" s="1" t="str">
        <f>TEXT(WEEKDAY(DATE(CalendarYear,5,24),1),"aaa")</f>
        <v>wo</v>
      </c>
      <c r="AA5" s="1" t="str">
        <f>TEXT(WEEKDAY(DATE(CalendarYear,5,25),1),"aaa")</f>
        <v>do</v>
      </c>
      <c r="AB5" s="1" t="str">
        <f>TEXT(WEEKDAY(DATE(CalendarYear,5,26),1),"aaa")</f>
        <v>vr</v>
      </c>
      <c r="AC5" s="1" t="str">
        <f>TEXT(WEEKDAY(DATE(CalendarYear,5,27),1),"aaa")</f>
        <v>za</v>
      </c>
      <c r="AD5" s="1" t="str">
        <f>TEXT(WEEKDAY(DATE(CalendarYear,5,28),1),"aaa")</f>
        <v>zo</v>
      </c>
      <c r="AE5" s="1" t="str">
        <f>TEXT(WEEKDAY(DATE(CalendarYear,5,29),1),"aaa")</f>
        <v>ma</v>
      </c>
      <c r="AF5" s="1" t="str">
        <f>TEXT(WEEKDAY(DATE(CalendarYear,5,30),1),"aaa")</f>
        <v>di</v>
      </c>
      <c r="AG5" s="1" t="str">
        <f>TEXT(WEEKDAY(DATE(CalendarYear,5,31),1),"aaa")</f>
        <v>wo</v>
      </c>
      <c r="AH5" s="7"/>
    </row>
    <row r="6" spans="2:34" ht="15" customHeight="1" x14ac:dyDescent="0.25">
      <c r="B6" s="10" t="s">
        <v>2</v>
      </c>
      <c r="C6" s="2" t="s">
        <v>5</v>
      </c>
      <c r="D6" s="2" t="s">
        <v>6</v>
      </c>
      <c r="E6" s="2" t="s">
        <v>7</v>
      </c>
      <c r="F6" s="2" t="s">
        <v>8</v>
      </c>
      <c r="G6" s="2" t="s">
        <v>10</v>
      </c>
      <c r="H6" s="2" t="s">
        <v>11</v>
      </c>
      <c r="I6" s="2" t="s">
        <v>12</v>
      </c>
      <c r="J6" s="2" t="s">
        <v>13</v>
      </c>
      <c r="K6" s="2" t="s">
        <v>14</v>
      </c>
      <c r="L6" s="2" t="s">
        <v>16</v>
      </c>
      <c r="M6" s="2" t="s">
        <v>17</v>
      </c>
      <c r="N6" s="2" t="s">
        <v>18</v>
      </c>
      <c r="O6" s="2" t="s">
        <v>19</v>
      </c>
      <c r="P6" s="2" t="s">
        <v>20</v>
      </c>
      <c r="Q6" s="2" t="s">
        <v>21</v>
      </c>
      <c r="R6" s="2" t="s">
        <v>22</v>
      </c>
      <c r="S6" s="2" t="s">
        <v>23</v>
      </c>
      <c r="T6" s="2" t="s">
        <v>24</v>
      </c>
      <c r="U6" s="2" t="s">
        <v>25</v>
      </c>
      <c r="V6" s="2" t="s">
        <v>26</v>
      </c>
      <c r="W6" s="2" t="s">
        <v>27</v>
      </c>
      <c r="X6" s="2" t="s">
        <v>28</v>
      </c>
      <c r="Y6" s="2" t="s">
        <v>29</v>
      </c>
      <c r="Z6" s="2" t="s">
        <v>30</v>
      </c>
      <c r="AA6" s="2" t="s">
        <v>31</v>
      </c>
      <c r="AB6" s="2" t="s">
        <v>32</v>
      </c>
      <c r="AC6" s="2" t="s">
        <v>33</v>
      </c>
      <c r="AD6" s="2" t="s">
        <v>34</v>
      </c>
      <c r="AE6" s="2" t="s">
        <v>35</v>
      </c>
      <c r="AF6" s="2" t="s">
        <v>36</v>
      </c>
      <c r="AG6" s="2" t="s">
        <v>37</v>
      </c>
      <c r="AH6" s="11" t="s">
        <v>39</v>
      </c>
    </row>
    <row r="7" spans="2:34" ht="30" customHeight="1" x14ac:dyDescent="0.25">
      <c r="B7" s="4" t="s">
        <v>54</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5">
        <f>COUNTA(Mei[[#This Row],[1]:[31]])</f>
        <v>0</v>
      </c>
    </row>
    <row r="8" spans="2:34" ht="30" customHeight="1" x14ac:dyDescent="0.25">
      <c r="B8" s="4" t="s">
        <v>55</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5">
        <f>COUNTA(Mei[[#This Row],[1]:[31]])</f>
        <v>0</v>
      </c>
    </row>
    <row r="9" spans="2:34" ht="30" customHeight="1" x14ac:dyDescent="0.25">
      <c r="B9" s="4" t="s">
        <v>56</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5">
        <f>COUNTA(Mei[[#This Row],[1]:[31]])</f>
        <v>0</v>
      </c>
    </row>
    <row r="10" spans="2:34" ht="30" customHeight="1" x14ac:dyDescent="0.25">
      <c r="B10" s="4" t="s">
        <v>57</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5">
        <f>COUNTA(Mei[[#This Row],[1]:[31]])</f>
        <v>0</v>
      </c>
    </row>
    <row r="11" spans="2:34" ht="30" customHeight="1" x14ac:dyDescent="0.25">
      <c r="B11" s="4" t="s">
        <v>58</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5">
        <f>COUNTA(Mei[[#This Row],[1]:[31]])</f>
        <v>0</v>
      </c>
    </row>
    <row r="12" spans="2:34" ht="30" customHeight="1" x14ac:dyDescent="0.25">
      <c r="B12" s="14" t="str">
        <f>MonthName&amp;" totaal"</f>
        <v>Mei totaal</v>
      </c>
      <c r="C12" s="8">
        <f>SUBTOTAL(103,Mei[1])</f>
        <v>0</v>
      </c>
      <c r="D12" s="8">
        <f>SUBTOTAL(103,Mei[2])</f>
        <v>0</v>
      </c>
      <c r="E12" s="8">
        <f>SUBTOTAL(103,Mei[3])</f>
        <v>0</v>
      </c>
      <c r="F12" s="8">
        <f>SUBTOTAL(103,Mei[4])</f>
        <v>0</v>
      </c>
      <c r="G12" s="8">
        <f>SUBTOTAL(103,Mei[5])</f>
        <v>0</v>
      </c>
      <c r="H12" s="8">
        <f>SUBTOTAL(103,Mei[6])</f>
        <v>0</v>
      </c>
      <c r="I12" s="8">
        <f>SUBTOTAL(103,Mei[7])</f>
        <v>0</v>
      </c>
      <c r="J12" s="8">
        <f>SUBTOTAL(103,Mei[8])</f>
        <v>0</v>
      </c>
      <c r="K12" s="8">
        <f>SUBTOTAL(103,Mei[9])</f>
        <v>0</v>
      </c>
      <c r="L12" s="8">
        <f>SUBTOTAL(103,Mei[10])</f>
        <v>0</v>
      </c>
      <c r="M12" s="8">
        <f>SUBTOTAL(103,Mei[11])</f>
        <v>0</v>
      </c>
      <c r="N12" s="8">
        <f>SUBTOTAL(103,Mei[12])</f>
        <v>0</v>
      </c>
      <c r="O12" s="8">
        <f>SUBTOTAL(103,Mei[13])</f>
        <v>0</v>
      </c>
      <c r="P12" s="8">
        <f>SUBTOTAL(103,Mei[14])</f>
        <v>0</v>
      </c>
      <c r="Q12" s="8">
        <f>SUBTOTAL(103,Mei[15])</f>
        <v>0</v>
      </c>
      <c r="R12" s="8">
        <f>SUBTOTAL(103,Mei[16])</f>
        <v>0</v>
      </c>
      <c r="S12" s="8">
        <f>SUBTOTAL(103,Mei[17])</f>
        <v>0</v>
      </c>
      <c r="T12" s="8">
        <f>SUBTOTAL(103,Mei[18])</f>
        <v>0</v>
      </c>
      <c r="U12" s="8">
        <f>SUBTOTAL(103,Mei[19])</f>
        <v>0</v>
      </c>
      <c r="V12" s="8">
        <f>SUBTOTAL(103,Mei[20])</f>
        <v>0</v>
      </c>
      <c r="W12" s="8">
        <f>SUBTOTAL(103,Mei[21])</f>
        <v>0</v>
      </c>
      <c r="X12" s="8">
        <f>SUBTOTAL(103,Mei[22])</f>
        <v>0</v>
      </c>
      <c r="Y12" s="8">
        <f>SUBTOTAL(103,Mei[23])</f>
        <v>0</v>
      </c>
      <c r="Z12" s="8">
        <f>SUBTOTAL(103,Mei[24])</f>
        <v>0</v>
      </c>
      <c r="AA12" s="8">
        <f>SUBTOTAL(103,Mei[25])</f>
        <v>0</v>
      </c>
      <c r="AB12" s="8">
        <f>SUBTOTAL(103,Mei[26])</f>
        <v>0</v>
      </c>
      <c r="AC12" s="8">
        <f>SUBTOTAL(103,Mei[27])</f>
        <v>0</v>
      </c>
      <c r="AD12" s="8">
        <f>SUBTOTAL(103,Mei[28])</f>
        <v>0</v>
      </c>
      <c r="AE12" s="8">
        <f>SUBTOTAL(103,Mei[29])</f>
        <v>0</v>
      </c>
      <c r="AF12" s="8">
        <f>SUBTOTAL(109,Mei[30])</f>
        <v>0</v>
      </c>
      <c r="AG12" s="8">
        <f>SUBTOTAL(109,Mei[31])</f>
        <v>0</v>
      </c>
      <c r="AH12" s="8">
        <f>SUBTOTAL(109,Mei[Totaal aantal dagen])</f>
        <v>0</v>
      </c>
    </row>
  </sheetData>
  <mergeCells count="4">
    <mergeCell ref="C4:AG4"/>
    <mergeCell ref="D2:E2"/>
    <mergeCell ref="G2:J2"/>
    <mergeCell ref="R2:U2"/>
  </mergeCells>
  <conditionalFormatting sqref="C7:AG11">
    <cfRule type="expression" priority="13" stopIfTrue="1">
      <formula>C7=""</formula>
    </cfRule>
  </conditionalFormatting>
  <conditionalFormatting sqref="C7:AG11">
    <cfRule type="expression" dxfId="696" priority="14" stopIfTrue="1">
      <formula>C7=KeyCustom2</formula>
    </cfRule>
    <cfRule type="expression" dxfId="695" priority="15" stopIfTrue="1">
      <formula>C7=KeyCustom1</formula>
    </cfRule>
    <cfRule type="expression" dxfId="694" priority="16" stopIfTrue="1">
      <formula>C7=KeySick</formula>
    </cfRule>
    <cfRule type="expression" dxfId="693" priority="17" stopIfTrue="1">
      <formula>C7=KeyPersonal</formula>
    </cfRule>
    <cfRule type="expression" dxfId="692" priority="18" stopIfTrue="1">
      <formula>C7=KeyVacation</formula>
    </cfRule>
  </conditionalFormatting>
  <conditionalFormatting sqref="AH7:AH11">
    <cfRule type="dataBar" priority="19">
      <dataBar>
        <cfvo type="min"/>
        <cfvo type="formula" val="DATEDIF(DATE(CalendarYear,2,1),DATE(CalendarYear,3,1),&quot;d&quot;)"/>
        <color theme="2" tint="-0.249977111117893"/>
      </dataBar>
      <extLst>
        <ext xmlns:x14="http://schemas.microsoft.com/office/spreadsheetml/2009/9/main" uri="{B025F937-C7B1-47D3-B67F-A62EFF666E3E}">
          <x14:id>{5670947F-8B3C-4A6C-A280-4F5E10811DCE}</x14:id>
        </ext>
      </extLst>
    </cfRule>
  </conditionalFormatting>
  <conditionalFormatting sqref="C2">
    <cfRule type="containsText" dxfId="691" priority="2" operator="containsText" text="V">
      <formula>NOT(ISERROR(SEARCH("V",C2)))</formula>
    </cfRule>
    <cfRule type="containsText" dxfId="690" priority="3" operator="containsText" text="V">
      <formula>NOT(ISERROR(SEARCH("V",C2)))</formula>
    </cfRule>
    <cfRule type="containsText" dxfId="689" priority="9" operator="containsText" text="V">
      <formula>NOT(ISERROR(SEARCH("V",C2)))</formula>
    </cfRule>
    <cfRule type="containsText" dxfId="688" priority="10" operator="containsText" text="V">
      <formula>NOT(ISERROR(SEARCH("V",C2)))</formula>
    </cfRule>
    <cfRule type="containsText" dxfId="687" priority="11" operator="containsText" text="V">
      <formula>NOT(ISERROR(SEARCH("V",C2)))</formula>
    </cfRule>
    <cfRule type="containsText" dxfId="686" priority="12" operator="containsText" text="V">
      <formula>NOT(ISERROR(SEARCH("V",C2)))</formula>
    </cfRule>
  </conditionalFormatting>
  <conditionalFormatting sqref="F2">
    <cfRule type="containsText" dxfId="685" priority="5" operator="containsText" text="e">
      <formula>NOT(ISERROR(SEARCH("e",F2)))</formula>
    </cfRule>
    <cfRule type="cellIs" dxfId="684" priority="6" operator="equal">
      <formula>42767</formula>
    </cfRule>
    <cfRule type="containsText" dxfId="683" priority="7" operator="containsText" text="1/2">
      <formula>NOT(ISERROR(SEARCH("1/2",F2)))</formula>
    </cfRule>
    <cfRule type="containsText" dxfId="682" priority="8" operator="containsText" text="R">
      <formula>NOT(ISERROR(SEARCH("R",F2)))</formula>
    </cfRule>
  </conditionalFormatting>
  <conditionalFormatting sqref="K2">
    <cfRule type="containsText" dxfId="681" priority="1" operator="containsText" text="Z">
      <formula>NOT(ISERROR(SEARCH("Z",K2)))</formula>
    </cfRule>
    <cfRule type="containsText" dxfId="680" priority="4" operator="containsText" text="Z">
      <formula>NOT(ISERROR(SEARCH("Z",K2)))</formula>
    </cfRule>
  </conditionalFormatting>
  <dataValidations count="14">
    <dataValidation allowBlank="1" showInputMessage="1" showErrorMessage="1" prompt="De dagen van de maand in deze rij worden automatisch gegenereerd. Voer de afwezigheid en het type afwezigheid van een werknemer in elke kolom voor elke dag van de maand in. Leeg betekent geen afwezigheid" sqref="C6"/>
    <dataValidation allowBlank="1" showInputMessage="1" showErrorMessage="1" prompt="De naam van de maand van deze afwezigheidsplanning is opgenomen in deze cel. Afwezigheidstotalen voor deze maand zijn opgenomen in de laatste cel van de tabel. Selecteer de werknemersnamen in tabelkolom B" sqref="B4"/>
    <dataValidation allowBlank="1" showInputMessage="1" showErrorMessage="1" prompt="Deze rij definieert de sleutels die worden gebruikt in de tabel: cel C2 is vakantie, G2 is persoonlijk en K2 is ziekteverlof. De cellen N2 en R2 kunnen worden aangepast " sqref="B2"/>
    <dataValidation allowBlank="1" showInputMessage="1" showErrorMessage="1" prompt="Voer links een label om de aangepaste sleutel te beschrijven in" sqref="O2:P2 R2"/>
    <dataValidation allowBlank="1" showInputMessage="1" showErrorMessage="1" prompt="Voer een letter in en pas rechts het label aan om een ander sleutelitem toe te voegen" sqref="N2 Q2"/>
    <dataValidation allowBlank="1" showInputMessage="1" showErrorMessage="1" prompt="De letter &quot;Z&quot; geeft afwezigheid vanwege ziekte aan" sqref="K2"/>
    <dataValidation allowBlank="1" showInputMessage="1" showErrorMessage="1" prompt="De letter &quot;P&quot; geeft afwezigheid vanwege persoonlijke redenen aan" sqref="F2"/>
    <dataValidation allowBlank="1" showInputMessage="1" showErrorMessage="1" prompt="De letter &quot;V&quot; geeft afwezigheid vanwege vakantie aan" sqref="C2"/>
    <dataValidation allowBlank="1" showInputMessage="1" showErrorMessage="1" prompt="De automatisch bijgewerkte titel is in deze cel opgenomen. Als u de titel wilt wijzigen, werk dan B1 in het januari-werkblad bij" sqref="B1"/>
    <dataValidation errorStyle="warning" allowBlank="1" showInputMessage="1" showErrorMessage="1" error="Selecteer een naam in de lijst. Selecteer ANNULEREN, druk dan op ALT+PIJL-OMLAAG en vervolgens op ENTER om een naam te selecteren" prompt="Voer de werknemersnamen in het werkblad met de namen van werknemers in en selecteer vervolgens een van die namen in de lijst in deze kolom. Druk op ALT+PIJL-OMLAAG en vervolgens op ENTER om een naam te selecteren" sqref="B6"/>
    <dataValidation allowBlank="1" showInputMessage="1" showErrorMessage="1" prompt="Houd de afwezigheid in mei in dit werkblad bij" sqref="A1"/>
    <dataValidation allowBlank="1" showInputMessage="1" showErrorMessage="1" prompt="Berekent automatisch het totaal aantal dagen die een werknemer in deze maand niet aanwezig was in deze kolom" sqref="AH6"/>
    <dataValidation allowBlank="1" showInputMessage="1" showErrorMessage="1" prompt="Automatisch bijgewerkt jaar op basis van het jaar dat in het werkblad januari is ingevoerd" sqref="AH4"/>
    <dataValidation allowBlank="1" showInputMessage="1" showErrorMessage="1" prompt="Weekdagen in deze rij worden voor de maand automatisch bijgewerkt op basis van het jaar in AH4. Elke dag van de maand is een kolom om de afwezigheid en het type afwezigheid van een werknemer te noteren" sqref="C5"/>
  </dataValidations>
  <printOptions horizontalCentered="1"/>
  <pageMargins left="0.25" right="0.25" top="0.75" bottom="0.75" header="0.3" footer="0.3"/>
  <pageSetup paperSize="9" scale="72"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670947F-8B3C-4A6C-A280-4F5E10811DCE}">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Werknemersnamen!$B$4:$B$8</xm:f>
          </x14:formula1>
          <xm:sqref>B7:B11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AH12"/>
  <sheetViews>
    <sheetView showGridLines="0" zoomScaleNormal="100" workbookViewId="0">
      <selection activeCell="B2" sqref="B2:U2"/>
    </sheetView>
  </sheetViews>
  <sheetFormatPr defaultRowHeight="30" customHeight="1" x14ac:dyDescent="0.25"/>
  <cols>
    <col min="1" max="1" width="2.7109375" style="6" customWidth="1"/>
    <col min="2" max="2" width="25.7109375" style="6" customWidth="1"/>
    <col min="3" max="33" width="4.7109375" style="6" customWidth="1"/>
    <col min="34" max="34" width="20.7109375" style="6" customWidth="1"/>
    <col min="35" max="35" width="2.7109375" customWidth="1"/>
  </cols>
  <sheetData>
    <row r="1" spans="2:34" ht="50.1" customHeight="1" x14ac:dyDescent="0.25">
      <c r="B1" s="9" t="str">
        <f>Employee_Absence_Title</f>
        <v>Werknemersafwezigheidsplanning</v>
      </c>
    </row>
    <row r="2" spans="2:34" ht="15" customHeight="1" x14ac:dyDescent="0.25">
      <c r="B2" s="18"/>
      <c r="C2" s="3" t="s">
        <v>3</v>
      </c>
      <c r="D2" s="50" t="s">
        <v>61</v>
      </c>
      <c r="E2" s="51"/>
      <c r="F2" s="20" t="s">
        <v>59</v>
      </c>
      <c r="G2" s="52" t="s">
        <v>60</v>
      </c>
      <c r="H2" s="53"/>
      <c r="I2" s="53"/>
      <c r="J2" s="53"/>
      <c r="K2" s="25" t="s">
        <v>9</v>
      </c>
      <c r="L2" s="24" t="s">
        <v>15</v>
      </c>
      <c r="M2" s="23"/>
      <c r="N2" s="29" t="s">
        <v>62</v>
      </c>
      <c r="O2" s="27" t="s">
        <v>63</v>
      </c>
      <c r="P2" s="17"/>
      <c r="Q2" s="28" t="s">
        <v>65</v>
      </c>
      <c r="R2" s="54" t="s">
        <v>64</v>
      </c>
      <c r="S2" s="53"/>
      <c r="T2" s="53"/>
      <c r="U2" s="53"/>
    </row>
    <row r="3" spans="2:34" ht="15" customHeight="1" x14ac:dyDescent="0.25">
      <c r="B3" s="9"/>
    </row>
    <row r="4" spans="2:34" ht="30" customHeight="1" x14ac:dyDescent="0.25">
      <c r="B4" s="7" t="s">
        <v>45</v>
      </c>
      <c r="C4" s="55" t="s">
        <v>4</v>
      </c>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7">
        <f>CalendarYear</f>
        <v>2017</v>
      </c>
    </row>
    <row r="5" spans="2:34" ht="15" customHeight="1" x14ac:dyDescent="0.25">
      <c r="B5" s="7"/>
      <c r="C5" s="1" t="str">
        <f>TEXT(WEEKDAY(DATE(CalendarYear,6,1),1),"aaa")</f>
        <v>do</v>
      </c>
      <c r="D5" s="1" t="str">
        <f>TEXT(WEEKDAY(DATE(CalendarYear,6,2),1),"aaa")</f>
        <v>vr</v>
      </c>
      <c r="E5" s="1" t="str">
        <f>TEXT(WEEKDAY(DATE(CalendarYear,6,3),1),"aaa")</f>
        <v>za</v>
      </c>
      <c r="F5" s="1" t="str">
        <f>TEXT(WEEKDAY(DATE(CalendarYear,6,4),1),"aaa")</f>
        <v>zo</v>
      </c>
      <c r="G5" s="1" t="str">
        <f>TEXT(WEEKDAY(DATE(CalendarYear,6,5),1),"aaa")</f>
        <v>ma</v>
      </c>
      <c r="H5" s="1" t="str">
        <f>TEXT(WEEKDAY(DATE(CalendarYear,6,6),1),"aaa")</f>
        <v>di</v>
      </c>
      <c r="I5" s="1" t="str">
        <f>TEXT(WEEKDAY(DATE(CalendarYear,6,7),1),"aaa")</f>
        <v>wo</v>
      </c>
      <c r="J5" s="1" t="str">
        <f>TEXT(WEEKDAY(DATE(CalendarYear,6,8),1),"aaa")</f>
        <v>do</v>
      </c>
      <c r="K5" s="1" t="str">
        <f>TEXT(WEEKDAY(DATE(CalendarYear,6,9),1),"aaa")</f>
        <v>vr</v>
      </c>
      <c r="L5" s="1" t="str">
        <f>TEXT(WEEKDAY(DATE(CalendarYear,6,10),1),"aaa")</f>
        <v>za</v>
      </c>
      <c r="M5" s="1" t="str">
        <f>TEXT(WEEKDAY(DATE(CalendarYear,6,11),1),"aaa")</f>
        <v>zo</v>
      </c>
      <c r="N5" s="1" t="str">
        <f>TEXT(WEEKDAY(DATE(CalendarYear,6,12),1),"aaa")</f>
        <v>ma</v>
      </c>
      <c r="O5" s="1" t="str">
        <f>TEXT(WEEKDAY(DATE(CalendarYear,6,13),1),"aaa")</f>
        <v>di</v>
      </c>
      <c r="P5" s="1" t="str">
        <f>TEXT(WEEKDAY(DATE(CalendarYear,6,14),1),"aaa")</f>
        <v>wo</v>
      </c>
      <c r="Q5" s="1" t="str">
        <f>TEXT(WEEKDAY(DATE(CalendarYear,6,15),1),"aaa")</f>
        <v>do</v>
      </c>
      <c r="R5" s="1" t="str">
        <f>TEXT(WEEKDAY(DATE(CalendarYear,6,16),1),"aaa")</f>
        <v>vr</v>
      </c>
      <c r="S5" s="1" t="str">
        <f>TEXT(WEEKDAY(DATE(CalendarYear,6,17),1),"aaa")</f>
        <v>za</v>
      </c>
      <c r="T5" s="1" t="str">
        <f>TEXT(WEEKDAY(DATE(CalendarYear,6,18),1),"aaa")</f>
        <v>zo</v>
      </c>
      <c r="U5" s="1" t="str">
        <f>TEXT(WEEKDAY(DATE(CalendarYear,6,19),1),"aaa")</f>
        <v>ma</v>
      </c>
      <c r="V5" s="1" t="str">
        <f>TEXT(WEEKDAY(DATE(CalendarYear,6,20),1),"aaa")</f>
        <v>di</v>
      </c>
      <c r="W5" s="1" t="str">
        <f>TEXT(WEEKDAY(DATE(CalendarYear,6,21),1),"aaa")</f>
        <v>wo</v>
      </c>
      <c r="X5" s="1" t="str">
        <f>TEXT(WEEKDAY(DATE(CalendarYear,6,22),1),"aaa")</f>
        <v>do</v>
      </c>
      <c r="Y5" s="1" t="str">
        <f>TEXT(WEEKDAY(DATE(CalendarYear,6,23),1),"aaa")</f>
        <v>vr</v>
      </c>
      <c r="Z5" s="1" t="str">
        <f>TEXT(WEEKDAY(DATE(CalendarYear,6,24),1),"aaa")</f>
        <v>za</v>
      </c>
      <c r="AA5" s="1" t="str">
        <f>TEXT(WEEKDAY(DATE(CalendarYear,6,25),1),"aaa")</f>
        <v>zo</v>
      </c>
      <c r="AB5" s="1" t="str">
        <f>TEXT(WEEKDAY(DATE(CalendarYear,6,26),1),"aaa")</f>
        <v>ma</v>
      </c>
      <c r="AC5" s="1" t="str">
        <f>TEXT(WEEKDAY(DATE(CalendarYear,6,27),1),"aaa")</f>
        <v>di</v>
      </c>
      <c r="AD5" s="1" t="str">
        <f>TEXT(WEEKDAY(DATE(CalendarYear,6,28),1),"aaa")</f>
        <v>wo</v>
      </c>
      <c r="AE5" s="1" t="str">
        <f>TEXT(WEEKDAY(DATE(CalendarYear,6,29),1),"aaa")</f>
        <v>do</v>
      </c>
      <c r="AF5" s="1" t="str">
        <f>TEXT(WEEKDAY(DATE(CalendarYear,6,30),1),"aaa")</f>
        <v>vr</v>
      </c>
      <c r="AG5" s="1"/>
      <c r="AH5" s="7"/>
    </row>
    <row r="6" spans="2:34" ht="15" customHeight="1" x14ac:dyDescent="0.25">
      <c r="B6" s="10" t="s">
        <v>2</v>
      </c>
      <c r="C6" s="2" t="s">
        <v>5</v>
      </c>
      <c r="D6" s="2" t="s">
        <v>6</v>
      </c>
      <c r="E6" s="2" t="s">
        <v>7</v>
      </c>
      <c r="F6" s="2" t="s">
        <v>8</v>
      </c>
      <c r="G6" s="2" t="s">
        <v>10</v>
      </c>
      <c r="H6" s="2" t="s">
        <v>11</v>
      </c>
      <c r="I6" s="2" t="s">
        <v>12</v>
      </c>
      <c r="J6" s="2" t="s">
        <v>13</v>
      </c>
      <c r="K6" s="2" t="s">
        <v>14</v>
      </c>
      <c r="L6" s="2" t="s">
        <v>16</v>
      </c>
      <c r="M6" s="2" t="s">
        <v>17</v>
      </c>
      <c r="N6" s="2" t="s">
        <v>18</v>
      </c>
      <c r="O6" s="2" t="s">
        <v>19</v>
      </c>
      <c r="P6" s="2" t="s">
        <v>20</v>
      </c>
      <c r="Q6" s="2" t="s">
        <v>21</v>
      </c>
      <c r="R6" s="2" t="s">
        <v>22</v>
      </c>
      <c r="S6" s="2" t="s">
        <v>23</v>
      </c>
      <c r="T6" s="2" t="s">
        <v>24</v>
      </c>
      <c r="U6" s="2" t="s">
        <v>25</v>
      </c>
      <c r="V6" s="2" t="s">
        <v>26</v>
      </c>
      <c r="W6" s="2" t="s">
        <v>27</v>
      </c>
      <c r="X6" s="2" t="s">
        <v>28</v>
      </c>
      <c r="Y6" s="2" t="s">
        <v>29</v>
      </c>
      <c r="Z6" s="2" t="s">
        <v>30</v>
      </c>
      <c r="AA6" s="2" t="s">
        <v>31</v>
      </c>
      <c r="AB6" s="2" t="s">
        <v>32</v>
      </c>
      <c r="AC6" s="2" t="s">
        <v>33</v>
      </c>
      <c r="AD6" s="2" t="s">
        <v>34</v>
      </c>
      <c r="AE6" s="2" t="s">
        <v>35</v>
      </c>
      <c r="AF6" s="2" t="s">
        <v>36</v>
      </c>
      <c r="AG6" s="2" t="s">
        <v>37</v>
      </c>
      <c r="AH6" s="11" t="s">
        <v>39</v>
      </c>
    </row>
    <row r="7" spans="2:34" ht="30" customHeight="1" x14ac:dyDescent="0.25">
      <c r="B7" s="4" t="s">
        <v>54</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5">
        <f>COUNTA(Juni[[#This Row],[1]:[31]])</f>
        <v>0</v>
      </c>
    </row>
    <row r="8" spans="2:34" ht="30" customHeight="1" x14ac:dyDescent="0.25">
      <c r="B8" s="4" t="s">
        <v>55</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5">
        <f>COUNTA(Juni[[#This Row],[1]:[31]])</f>
        <v>0</v>
      </c>
    </row>
    <row r="9" spans="2:34" ht="30" customHeight="1" x14ac:dyDescent="0.25">
      <c r="B9" s="4" t="s">
        <v>56</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5">
        <f>COUNTA(Juni[[#This Row],[1]:[31]])</f>
        <v>0</v>
      </c>
    </row>
    <row r="10" spans="2:34" ht="30" customHeight="1" x14ac:dyDescent="0.25">
      <c r="B10" s="4" t="s">
        <v>57</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5">
        <f>COUNTA(Juni[[#This Row],[1]:[31]])</f>
        <v>0</v>
      </c>
    </row>
    <row r="11" spans="2:34" ht="30" customHeight="1" x14ac:dyDescent="0.25">
      <c r="B11" s="4" t="s">
        <v>58</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5">
        <f>COUNTA(Juni[[#This Row],[1]:[31]])</f>
        <v>0</v>
      </c>
    </row>
    <row r="12" spans="2:34" ht="30" customHeight="1" x14ac:dyDescent="0.25">
      <c r="B12" s="14" t="str">
        <f>MonthName&amp;" totaal"</f>
        <v>Juni totaal</v>
      </c>
      <c r="C12" s="8">
        <f>SUBTOTAL(103,Juni[1])</f>
        <v>0</v>
      </c>
      <c r="D12" s="8">
        <f>SUBTOTAL(103,Juni[2])</f>
        <v>0</v>
      </c>
      <c r="E12" s="8">
        <f>SUBTOTAL(103,Juni[3])</f>
        <v>0</v>
      </c>
      <c r="F12" s="8">
        <f>SUBTOTAL(103,Juni[4])</f>
        <v>0</v>
      </c>
      <c r="G12" s="8">
        <f>SUBTOTAL(103,Juni[5])</f>
        <v>0</v>
      </c>
      <c r="H12" s="8">
        <f>SUBTOTAL(103,Juni[6])</f>
        <v>0</v>
      </c>
      <c r="I12" s="8">
        <f>SUBTOTAL(103,Juni[7])</f>
        <v>0</v>
      </c>
      <c r="J12" s="8">
        <f>SUBTOTAL(103,Juni[8])</f>
        <v>0</v>
      </c>
      <c r="K12" s="8">
        <f>SUBTOTAL(103,Juni[9])</f>
        <v>0</v>
      </c>
      <c r="L12" s="8">
        <f>SUBTOTAL(103,Juni[10])</f>
        <v>0</v>
      </c>
      <c r="M12" s="8">
        <f>SUBTOTAL(103,Juni[11])</f>
        <v>0</v>
      </c>
      <c r="N12" s="8">
        <f>SUBTOTAL(103,Juni[12])</f>
        <v>0</v>
      </c>
      <c r="O12" s="8">
        <f>SUBTOTAL(103,Juni[13])</f>
        <v>0</v>
      </c>
      <c r="P12" s="8">
        <f>SUBTOTAL(103,Juni[14])</f>
        <v>0</v>
      </c>
      <c r="Q12" s="8">
        <f>SUBTOTAL(103,Juni[15])</f>
        <v>0</v>
      </c>
      <c r="R12" s="8">
        <f>SUBTOTAL(103,Juni[16])</f>
        <v>0</v>
      </c>
      <c r="S12" s="8">
        <f>SUBTOTAL(103,Juni[17])</f>
        <v>0</v>
      </c>
      <c r="T12" s="8">
        <f>SUBTOTAL(103,Juni[18])</f>
        <v>0</v>
      </c>
      <c r="U12" s="8">
        <f>SUBTOTAL(103,Juni[19])</f>
        <v>0</v>
      </c>
      <c r="V12" s="8">
        <f>SUBTOTAL(103,Juni[20])</f>
        <v>0</v>
      </c>
      <c r="W12" s="8">
        <f>SUBTOTAL(103,Juni[21])</f>
        <v>0</v>
      </c>
      <c r="X12" s="8">
        <f>SUBTOTAL(103,Juni[22])</f>
        <v>0</v>
      </c>
      <c r="Y12" s="8">
        <f>SUBTOTAL(103,Juni[23])</f>
        <v>0</v>
      </c>
      <c r="Z12" s="8">
        <f>SUBTOTAL(103,Juni[24])</f>
        <v>0</v>
      </c>
      <c r="AA12" s="8">
        <f>SUBTOTAL(103,Juni[25])</f>
        <v>0</v>
      </c>
      <c r="AB12" s="8">
        <f>SUBTOTAL(103,Juni[26])</f>
        <v>0</v>
      </c>
      <c r="AC12" s="8">
        <f>SUBTOTAL(103,Juni[27])</f>
        <v>0</v>
      </c>
      <c r="AD12" s="8">
        <f>SUBTOTAL(103,Juni[28])</f>
        <v>0</v>
      </c>
      <c r="AE12" s="8">
        <f>SUBTOTAL(103,Juni[29])</f>
        <v>0</v>
      </c>
      <c r="AF12" s="8">
        <f>SUBTOTAL(109,Juni[30])</f>
        <v>0</v>
      </c>
      <c r="AG12" s="8">
        <f>SUBTOTAL(109,Juni[31])</f>
        <v>0</v>
      </c>
      <c r="AH12" s="8">
        <f>SUBTOTAL(109,Juni[Totaal aantal dagen])</f>
        <v>0</v>
      </c>
    </row>
  </sheetData>
  <mergeCells count="4">
    <mergeCell ref="C4:AG4"/>
    <mergeCell ref="D2:E2"/>
    <mergeCell ref="G2:J2"/>
    <mergeCell ref="R2:U2"/>
  </mergeCells>
  <conditionalFormatting sqref="C7:AG11">
    <cfRule type="expression" priority="13" stopIfTrue="1">
      <formula>C7=""</formula>
    </cfRule>
  </conditionalFormatting>
  <conditionalFormatting sqref="C7:AG11">
    <cfRule type="expression" dxfId="610" priority="14" stopIfTrue="1">
      <formula>C7=KeyCustom2</formula>
    </cfRule>
    <cfRule type="expression" dxfId="609" priority="15" stopIfTrue="1">
      <formula>C7=KeyCustom1</formula>
    </cfRule>
    <cfRule type="expression" dxfId="608" priority="16" stopIfTrue="1">
      <formula>C7=KeySick</formula>
    </cfRule>
    <cfRule type="expression" dxfId="607" priority="17" stopIfTrue="1">
      <formula>C7=KeyPersonal</formula>
    </cfRule>
    <cfRule type="expression" dxfId="606" priority="18" stopIfTrue="1">
      <formula>C7=KeyVacation</formula>
    </cfRule>
  </conditionalFormatting>
  <conditionalFormatting sqref="AH7:AH11">
    <cfRule type="dataBar" priority="19">
      <dataBar>
        <cfvo type="min"/>
        <cfvo type="formula" val="DATEDIF(DATE(CalendarYear,2,1),DATE(CalendarYear,3,1),&quot;d&quot;)"/>
        <color theme="2" tint="-0.249977111117893"/>
      </dataBar>
      <extLst>
        <ext xmlns:x14="http://schemas.microsoft.com/office/spreadsheetml/2009/9/main" uri="{B025F937-C7B1-47D3-B67F-A62EFF666E3E}">
          <x14:id>{5E94D469-7B22-408B-924D-8DC8A136AD3B}</x14:id>
        </ext>
      </extLst>
    </cfRule>
  </conditionalFormatting>
  <conditionalFormatting sqref="C2">
    <cfRule type="containsText" dxfId="605" priority="2" operator="containsText" text="V">
      <formula>NOT(ISERROR(SEARCH("V",C2)))</formula>
    </cfRule>
    <cfRule type="containsText" dxfId="604" priority="3" operator="containsText" text="V">
      <formula>NOT(ISERROR(SEARCH("V",C2)))</formula>
    </cfRule>
    <cfRule type="containsText" dxfId="603" priority="9" operator="containsText" text="V">
      <formula>NOT(ISERROR(SEARCH("V",C2)))</formula>
    </cfRule>
    <cfRule type="containsText" dxfId="602" priority="10" operator="containsText" text="V">
      <formula>NOT(ISERROR(SEARCH("V",C2)))</formula>
    </cfRule>
    <cfRule type="containsText" dxfId="601" priority="11" operator="containsText" text="V">
      <formula>NOT(ISERROR(SEARCH("V",C2)))</formula>
    </cfRule>
    <cfRule type="containsText" dxfId="600" priority="12" operator="containsText" text="V">
      <formula>NOT(ISERROR(SEARCH("V",C2)))</formula>
    </cfRule>
  </conditionalFormatting>
  <conditionalFormatting sqref="F2">
    <cfRule type="containsText" dxfId="599" priority="5" operator="containsText" text="e">
      <formula>NOT(ISERROR(SEARCH("e",F2)))</formula>
    </cfRule>
    <cfRule type="cellIs" dxfId="598" priority="6" operator="equal">
      <formula>42767</formula>
    </cfRule>
    <cfRule type="containsText" dxfId="597" priority="7" operator="containsText" text="1/2">
      <formula>NOT(ISERROR(SEARCH("1/2",F2)))</formula>
    </cfRule>
    <cfRule type="containsText" dxfId="596" priority="8" operator="containsText" text="R">
      <formula>NOT(ISERROR(SEARCH("R",F2)))</formula>
    </cfRule>
  </conditionalFormatting>
  <conditionalFormatting sqref="K2">
    <cfRule type="containsText" dxfId="595" priority="1" operator="containsText" text="Z">
      <formula>NOT(ISERROR(SEARCH("Z",K2)))</formula>
    </cfRule>
    <cfRule type="containsText" dxfId="594" priority="4" operator="containsText" text="Z">
      <formula>NOT(ISERROR(SEARCH("Z",K2)))</formula>
    </cfRule>
  </conditionalFormatting>
  <dataValidations count="14">
    <dataValidation allowBlank="1" showInputMessage="1" showErrorMessage="1" prompt="Weekdagen in deze rij worden voor de maand automatisch bijgewerkt op basis van het jaar in AH4. Elke dag van de maand is een kolom om de afwezigheid en het type afwezigheid van een werknemer te noteren" sqref="C5"/>
    <dataValidation allowBlank="1" showInputMessage="1" showErrorMessage="1" prompt="Automatisch bijgewerkt jaar op basis van het jaar dat in het werkblad januari is ingevoerd" sqref="AH4"/>
    <dataValidation allowBlank="1" showInputMessage="1" showErrorMessage="1" prompt="Berekent automatisch het totaal aantal dagen die een werknemer in deze maand niet aanwezig was in deze kolom" sqref="AH6"/>
    <dataValidation allowBlank="1" showInputMessage="1" showErrorMessage="1" prompt="Houd de afwezigheid in juni in dit werkblad bij" sqref="A1"/>
    <dataValidation errorStyle="warning" allowBlank="1" showInputMessage="1" showErrorMessage="1" error="Selecteer een naam in de lijst. Selecteer ANNULEREN, druk dan op ALT+PIJL-OMLAAG en vervolgens op ENTER om een naam te selecteren" prompt="Voer de werknemersnamen in het werkblad met de namen van werknemers in en selecteer vervolgens een van die namen in de lijst in deze kolom. Druk op ALT+PIJL-OMLAAG en vervolgens op ENTER om een naam te selecteren" sqref="B6"/>
    <dataValidation allowBlank="1" showInputMessage="1" showErrorMessage="1" prompt="De automatisch bijgewerkte titel is in deze cel opgenomen. Als u de titel wilt wijzigen, werk dan B1 in het januari-werkblad bij" sqref="B1"/>
    <dataValidation allowBlank="1" showInputMessage="1" showErrorMessage="1" prompt="De letter &quot;V&quot; geeft afwezigheid vanwege vakantie aan" sqref="C2"/>
    <dataValidation allowBlank="1" showInputMessage="1" showErrorMessage="1" prompt="De letter &quot;P&quot; geeft afwezigheid vanwege persoonlijke redenen aan" sqref="F2"/>
    <dataValidation allowBlank="1" showInputMessage="1" showErrorMessage="1" prompt="De letter &quot;Z&quot; geeft afwezigheid vanwege ziekte aan" sqref="K2"/>
    <dataValidation allowBlank="1" showInputMessage="1" showErrorMessage="1" prompt="Voer een letter in en pas rechts het label aan om een ander sleutelitem toe te voegen" sqref="N2 Q2"/>
    <dataValidation allowBlank="1" showInputMessage="1" showErrorMessage="1" prompt="Voer links een label om de aangepaste sleutel te beschrijven in" sqref="O2:P2 R2"/>
    <dataValidation allowBlank="1" showInputMessage="1" showErrorMessage="1" prompt="Deze rij definieert de sleutels die worden gebruikt in de tabel: cel C2 is vakantie, G2 is persoonlijk en K2 is ziekteverlof. De cellen N2 en R2 kunnen worden aangepast " sqref="B2"/>
    <dataValidation allowBlank="1" showInputMessage="1" showErrorMessage="1" prompt="De naam van de maand van deze afwezigheidsplanning is opgenomen in deze cel. Afwezigheidstotalen voor deze maand zijn opgenomen in de laatste cel van de tabel. Selecteer de werknemersnamen in tabelkolom B" sqref="B4"/>
    <dataValidation allowBlank="1" showInputMessage="1" showErrorMessage="1" prompt="De dagen van de maand in deze rij worden automatisch gegenereerd. Voer de afwezigheid en het type afwezigheid van een werknemer in elke kolom voor elke dag van de maand in. Leeg betekent geen afwezigheid" sqref="C6"/>
  </dataValidations>
  <printOptions horizontalCentered="1"/>
  <pageMargins left="0.25" right="0.25" top="0.75" bottom="0.75" header="0.3" footer="0.3"/>
  <pageSetup paperSize="9" scale="72"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E94D469-7B22-408B-924D-8DC8A136AD3B}">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Werknemersnamen!$B$4:$B$8</xm:f>
          </x14:formula1>
          <xm:sqref>B7:B11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H12"/>
  <sheetViews>
    <sheetView showGridLines="0" zoomScaleNormal="100" workbookViewId="0">
      <selection activeCell="B2" sqref="B2:U2"/>
    </sheetView>
  </sheetViews>
  <sheetFormatPr defaultRowHeight="30" customHeight="1" x14ac:dyDescent="0.25"/>
  <cols>
    <col min="1" max="1" width="2.7109375" style="6" customWidth="1"/>
    <col min="2" max="2" width="25.7109375" style="6" customWidth="1"/>
    <col min="3" max="33" width="4.7109375" style="6" customWidth="1"/>
    <col min="34" max="34" width="20.7109375" style="6" customWidth="1"/>
    <col min="35" max="35" width="2.7109375" customWidth="1"/>
  </cols>
  <sheetData>
    <row r="1" spans="2:34" ht="50.1" customHeight="1" x14ac:dyDescent="0.25">
      <c r="B1" s="9" t="str">
        <f>Employee_Absence_Title</f>
        <v>Werknemersafwezigheidsplanning</v>
      </c>
    </row>
    <row r="2" spans="2:34" ht="15" customHeight="1" x14ac:dyDescent="0.25">
      <c r="B2" s="18"/>
      <c r="C2" s="3" t="s">
        <v>3</v>
      </c>
      <c r="D2" s="50" t="s">
        <v>61</v>
      </c>
      <c r="E2" s="51"/>
      <c r="F2" s="20" t="s">
        <v>59</v>
      </c>
      <c r="G2" s="52" t="s">
        <v>60</v>
      </c>
      <c r="H2" s="53"/>
      <c r="I2" s="53"/>
      <c r="J2" s="53"/>
      <c r="K2" s="25" t="s">
        <v>9</v>
      </c>
      <c r="L2" s="24" t="s">
        <v>15</v>
      </c>
      <c r="M2" s="23"/>
      <c r="N2" s="29" t="s">
        <v>62</v>
      </c>
      <c r="O2" s="27" t="s">
        <v>63</v>
      </c>
      <c r="P2" s="17"/>
      <c r="Q2" s="28" t="s">
        <v>65</v>
      </c>
      <c r="R2" s="54" t="s">
        <v>64</v>
      </c>
      <c r="S2" s="53"/>
      <c r="T2" s="53"/>
      <c r="U2" s="53"/>
    </row>
    <row r="3" spans="2:34" ht="15" customHeight="1" x14ac:dyDescent="0.25">
      <c r="B3" s="9"/>
    </row>
    <row r="4" spans="2:34" ht="30" customHeight="1" x14ac:dyDescent="0.25">
      <c r="B4" s="7" t="s">
        <v>46</v>
      </c>
      <c r="C4" s="55" t="s">
        <v>4</v>
      </c>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7">
        <f>CalendarYear</f>
        <v>2017</v>
      </c>
    </row>
    <row r="5" spans="2:34" ht="15" customHeight="1" x14ac:dyDescent="0.25">
      <c r="B5" s="7"/>
      <c r="C5" s="1" t="str">
        <f>TEXT(WEEKDAY(DATE(CalendarYear,7,1),1),"aaa")</f>
        <v>za</v>
      </c>
      <c r="D5" s="1" t="str">
        <f>TEXT(WEEKDAY(DATE(CalendarYear,7,2),1),"aaa")</f>
        <v>zo</v>
      </c>
      <c r="E5" s="1" t="str">
        <f>TEXT(WEEKDAY(DATE(CalendarYear,7,3),1),"aaa")</f>
        <v>ma</v>
      </c>
      <c r="F5" s="1" t="str">
        <f>TEXT(WEEKDAY(DATE(CalendarYear,7,4),1),"aaa")</f>
        <v>di</v>
      </c>
      <c r="G5" s="1" t="str">
        <f>TEXT(WEEKDAY(DATE(CalendarYear,7,5),1),"aaa")</f>
        <v>wo</v>
      </c>
      <c r="H5" s="1" t="str">
        <f>TEXT(WEEKDAY(DATE(CalendarYear,7,6),1),"aaa")</f>
        <v>do</v>
      </c>
      <c r="I5" s="1" t="str">
        <f>TEXT(WEEKDAY(DATE(CalendarYear,7,7),1),"aaa")</f>
        <v>vr</v>
      </c>
      <c r="J5" s="1" t="str">
        <f>TEXT(WEEKDAY(DATE(CalendarYear,7,8),1),"aaa")</f>
        <v>za</v>
      </c>
      <c r="K5" s="1" t="str">
        <f>TEXT(WEEKDAY(DATE(CalendarYear,7,9),1),"aaa")</f>
        <v>zo</v>
      </c>
      <c r="L5" s="1" t="str">
        <f>TEXT(WEEKDAY(DATE(CalendarYear,7,10),1),"aaa")</f>
        <v>ma</v>
      </c>
      <c r="M5" s="1" t="str">
        <f>TEXT(WEEKDAY(DATE(CalendarYear,7,11),1),"aaa")</f>
        <v>di</v>
      </c>
      <c r="N5" s="1" t="str">
        <f>TEXT(WEEKDAY(DATE(CalendarYear,7,12),1),"aaa")</f>
        <v>wo</v>
      </c>
      <c r="O5" s="1" t="str">
        <f>TEXT(WEEKDAY(DATE(CalendarYear,7,13),1),"aaa")</f>
        <v>do</v>
      </c>
      <c r="P5" s="1" t="str">
        <f>TEXT(WEEKDAY(DATE(CalendarYear,7,14),1),"aaa")</f>
        <v>vr</v>
      </c>
      <c r="Q5" s="1" t="str">
        <f>TEXT(WEEKDAY(DATE(CalendarYear,7,15),1),"aaa")</f>
        <v>za</v>
      </c>
      <c r="R5" s="1" t="str">
        <f>TEXT(WEEKDAY(DATE(CalendarYear,7,16),1),"aaa")</f>
        <v>zo</v>
      </c>
      <c r="S5" s="1" t="str">
        <f>TEXT(WEEKDAY(DATE(CalendarYear,7,17),1),"aaa")</f>
        <v>ma</v>
      </c>
      <c r="T5" s="1" t="str">
        <f>TEXT(WEEKDAY(DATE(CalendarYear,7,18),1),"aaa")</f>
        <v>di</v>
      </c>
      <c r="U5" s="1" t="str">
        <f>TEXT(WEEKDAY(DATE(CalendarYear,7,19),1),"aaa")</f>
        <v>wo</v>
      </c>
      <c r="V5" s="1" t="str">
        <f>TEXT(WEEKDAY(DATE(CalendarYear,7,20),1),"aaa")</f>
        <v>do</v>
      </c>
      <c r="W5" s="1" t="str">
        <f>TEXT(WEEKDAY(DATE(CalendarYear,7,21),1),"aaa")</f>
        <v>vr</v>
      </c>
      <c r="X5" s="1" t="str">
        <f>TEXT(WEEKDAY(DATE(CalendarYear,7,22),1),"aaa")</f>
        <v>za</v>
      </c>
      <c r="Y5" s="1" t="str">
        <f>TEXT(WEEKDAY(DATE(CalendarYear,7,23),1),"aaa")</f>
        <v>zo</v>
      </c>
      <c r="Z5" s="1" t="str">
        <f>TEXT(WEEKDAY(DATE(CalendarYear,7,24),1),"aaa")</f>
        <v>ma</v>
      </c>
      <c r="AA5" s="1" t="str">
        <f>TEXT(WEEKDAY(DATE(CalendarYear,7,25),1),"aaa")</f>
        <v>di</v>
      </c>
      <c r="AB5" s="1" t="str">
        <f>TEXT(WEEKDAY(DATE(CalendarYear,7,26),1),"aaa")</f>
        <v>wo</v>
      </c>
      <c r="AC5" s="1" t="str">
        <f>TEXT(WEEKDAY(DATE(CalendarYear,7,27),1),"aaa")</f>
        <v>do</v>
      </c>
      <c r="AD5" s="1" t="str">
        <f>TEXT(WEEKDAY(DATE(CalendarYear,7,28),1),"aaa")</f>
        <v>vr</v>
      </c>
      <c r="AE5" s="1" t="str">
        <f>TEXT(WEEKDAY(DATE(CalendarYear,7,29),1),"aaa")</f>
        <v>za</v>
      </c>
      <c r="AF5" s="1" t="str">
        <f>TEXT(WEEKDAY(DATE(CalendarYear,7,30),1),"aaa")</f>
        <v>zo</v>
      </c>
      <c r="AG5" s="1" t="str">
        <f>TEXT(WEEKDAY(DATE(CalendarYear,7,31),1),"aaa")</f>
        <v>ma</v>
      </c>
      <c r="AH5" s="7"/>
    </row>
    <row r="6" spans="2:34" ht="15" customHeight="1" x14ac:dyDescent="0.25">
      <c r="B6" s="10" t="s">
        <v>2</v>
      </c>
      <c r="C6" s="2" t="s">
        <v>5</v>
      </c>
      <c r="D6" s="2" t="s">
        <v>6</v>
      </c>
      <c r="E6" s="2" t="s">
        <v>7</v>
      </c>
      <c r="F6" s="2" t="s">
        <v>8</v>
      </c>
      <c r="G6" s="2" t="s">
        <v>10</v>
      </c>
      <c r="H6" s="2" t="s">
        <v>11</v>
      </c>
      <c r="I6" s="2" t="s">
        <v>12</v>
      </c>
      <c r="J6" s="2" t="s">
        <v>13</v>
      </c>
      <c r="K6" s="2" t="s">
        <v>14</v>
      </c>
      <c r="L6" s="2" t="s">
        <v>16</v>
      </c>
      <c r="M6" s="2" t="s">
        <v>17</v>
      </c>
      <c r="N6" s="2" t="s">
        <v>18</v>
      </c>
      <c r="O6" s="2" t="s">
        <v>19</v>
      </c>
      <c r="P6" s="2" t="s">
        <v>20</v>
      </c>
      <c r="Q6" s="2" t="s">
        <v>21</v>
      </c>
      <c r="R6" s="2" t="s">
        <v>22</v>
      </c>
      <c r="S6" s="2" t="s">
        <v>23</v>
      </c>
      <c r="T6" s="2" t="s">
        <v>24</v>
      </c>
      <c r="U6" s="2" t="s">
        <v>25</v>
      </c>
      <c r="V6" s="2" t="s">
        <v>26</v>
      </c>
      <c r="W6" s="2" t="s">
        <v>27</v>
      </c>
      <c r="X6" s="2" t="s">
        <v>28</v>
      </c>
      <c r="Y6" s="2" t="s">
        <v>29</v>
      </c>
      <c r="Z6" s="2" t="s">
        <v>30</v>
      </c>
      <c r="AA6" s="2" t="s">
        <v>31</v>
      </c>
      <c r="AB6" s="2" t="s">
        <v>32</v>
      </c>
      <c r="AC6" s="2" t="s">
        <v>33</v>
      </c>
      <c r="AD6" s="2" t="s">
        <v>34</v>
      </c>
      <c r="AE6" s="2" t="s">
        <v>35</v>
      </c>
      <c r="AF6" s="2" t="s">
        <v>36</v>
      </c>
      <c r="AG6" s="2" t="s">
        <v>37</v>
      </c>
      <c r="AH6" s="11" t="s">
        <v>39</v>
      </c>
    </row>
    <row r="7" spans="2:34" ht="30" customHeight="1" x14ac:dyDescent="0.25">
      <c r="B7" s="4" t="s">
        <v>54</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5">
        <f>COUNTA(Juli[[#This Row],[1]:[31]])</f>
        <v>0</v>
      </c>
    </row>
    <row r="8" spans="2:34" ht="30" customHeight="1" x14ac:dyDescent="0.25">
      <c r="B8" s="4" t="s">
        <v>55</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5">
        <f>COUNTA(Juli[[#This Row],[1]:[31]])</f>
        <v>0</v>
      </c>
    </row>
    <row r="9" spans="2:34" ht="30" customHeight="1" x14ac:dyDescent="0.25">
      <c r="B9" s="4" t="s">
        <v>56</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5">
        <f>COUNTA(Juli[[#This Row],[1]:[31]])</f>
        <v>0</v>
      </c>
    </row>
    <row r="10" spans="2:34" ht="30" customHeight="1" x14ac:dyDescent="0.25">
      <c r="B10" s="4" t="s">
        <v>57</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5">
        <f>COUNTA(Juli[[#This Row],[1]:[31]])</f>
        <v>0</v>
      </c>
    </row>
    <row r="11" spans="2:34" ht="30" customHeight="1" x14ac:dyDescent="0.25">
      <c r="B11" s="4" t="s">
        <v>58</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5">
        <f>COUNTA(Juli[[#This Row],[1]:[31]])</f>
        <v>0</v>
      </c>
    </row>
    <row r="12" spans="2:34" ht="30" customHeight="1" x14ac:dyDescent="0.25">
      <c r="B12" s="14" t="str">
        <f>MonthName&amp;" totaal"</f>
        <v>Juli totaal</v>
      </c>
      <c r="C12" s="8">
        <f>SUBTOTAL(103,Juli[1])</f>
        <v>0</v>
      </c>
      <c r="D12" s="8">
        <f>SUBTOTAL(103,Juli[2])</f>
        <v>0</v>
      </c>
      <c r="E12" s="8">
        <f>SUBTOTAL(103,Juli[3])</f>
        <v>0</v>
      </c>
      <c r="F12" s="8">
        <f>SUBTOTAL(103,Juli[4])</f>
        <v>0</v>
      </c>
      <c r="G12" s="8">
        <f>SUBTOTAL(103,Juli[5])</f>
        <v>0</v>
      </c>
      <c r="H12" s="8">
        <f>SUBTOTAL(103,Juli[6])</f>
        <v>0</v>
      </c>
      <c r="I12" s="8">
        <f>SUBTOTAL(103,Juli[7])</f>
        <v>0</v>
      </c>
      <c r="J12" s="8">
        <f>SUBTOTAL(103,Juli[8])</f>
        <v>0</v>
      </c>
      <c r="K12" s="8">
        <f>SUBTOTAL(103,Juli[9])</f>
        <v>0</v>
      </c>
      <c r="L12" s="8">
        <f>SUBTOTAL(103,Juli[10])</f>
        <v>0</v>
      </c>
      <c r="M12" s="8">
        <f>SUBTOTAL(103,Juli[11])</f>
        <v>0</v>
      </c>
      <c r="N12" s="8">
        <f>SUBTOTAL(103,Juli[12])</f>
        <v>0</v>
      </c>
      <c r="O12" s="8">
        <f>SUBTOTAL(103,Juli[13])</f>
        <v>0</v>
      </c>
      <c r="P12" s="8">
        <f>SUBTOTAL(103,Juli[14])</f>
        <v>0</v>
      </c>
      <c r="Q12" s="8">
        <f>SUBTOTAL(103,Juli[15])</f>
        <v>0</v>
      </c>
      <c r="R12" s="8">
        <f>SUBTOTAL(103,Juli[16])</f>
        <v>0</v>
      </c>
      <c r="S12" s="8">
        <f>SUBTOTAL(103,Juli[17])</f>
        <v>0</v>
      </c>
      <c r="T12" s="8">
        <f>SUBTOTAL(103,Juli[18])</f>
        <v>0</v>
      </c>
      <c r="U12" s="8">
        <f>SUBTOTAL(103,Juli[19])</f>
        <v>0</v>
      </c>
      <c r="V12" s="8">
        <f>SUBTOTAL(103,Juli[20])</f>
        <v>0</v>
      </c>
      <c r="W12" s="8">
        <f>SUBTOTAL(103,Juli[21])</f>
        <v>0</v>
      </c>
      <c r="X12" s="8">
        <f>SUBTOTAL(103,Juli[22])</f>
        <v>0</v>
      </c>
      <c r="Y12" s="8">
        <f>SUBTOTAL(103,Juli[23])</f>
        <v>0</v>
      </c>
      <c r="Z12" s="8">
        <f>SUBTOTAL(103,Juli[24])</f>
        <v>0</v>
      </c>
      <c r="AA12" s="8">
        <f>SUBTOTAL(103,Juli[25])</f>
        <v>0</v>
      </c>
      <c r="AB12" s="8">
        <f>SUBTOTAL(103,Juli[26])</f>
        <v>0</v>
      </c>
      <c r="AC12" s="8">
        <f>SUBTOTAL(103,Juli[27])</f>
        <v>0</v>
      </c>
      <c r="AD12" s="8">
        <f>SUBTOTAL(103,Juli[28])</f>
        <v>0</v>
      </c>
      <c r="AE12" s="8">
        <f>SUBTOTAL(103,Juli[29])</f>
        <v>0</v>
      </c>
      <c r="AF12" s="8">
        <f>SUBTOTAL(109,Juli[30])</f>
        <v>0</v>
      </c>
      <c r="AG12" s="8">
        <f>SUBTOTAL(109,Juli[31])</f>
        <v>0</v>
      </c>
      <c r="AH12" s="8">
        <f>SUBTOTAL(109,Juli[Totaal aantal dagen])</f>
        <v>0</v>
      </c>
    </row>
  </sheetData>
  <mergeCells count="4">
    <mergeCell ref="C4:AG4"/>
    <mergeCell ref="D2:E2"/>
    <mergeCell ref="G2:J2"/>
    <mergeCell ref="R2:U2"/>
  </mergeCells>
  <conditionalFormatting sqref="C7:AG11">
    <cfRule type="expression" priority="13" stopIfTrue="1">
      <formula>C7=""</formula>
    </cfRule>
  </conditionalFormatting>
  <conditionalFormatting sqref="C7:AG11">
    <cfRule type="expression" dxfId="524" priority="14" stopIfTrue="1">
      <formula>C7=KeyCustom2</formula>
    </cfRule>
    <cfRule type="expression" dxfId="523" priority="15" stopIfTrue="1">
      <formula>C7=KeyCustom1</formula>
    </cfRule>
    <cfRule type="expression" dxfId="522" priority="16" stopIfTrue="1">
      <formula>C7=KeySick</formula>
    </cfRule>
    <cfRule type="expression" dxfId="521" priority="17" stopIfTrue="1">
      <formula>C7=KeyPersonal</formula>
    </cfRule>
    <cfRule type="expression" dxfId="520" priority="18" stopIfTrue="1">
      <formula>C7=KeyVacation</formula>
    </cfRule>
  </conditionalFormatting>
  <conditionalFormatting sqref="AH7:AH11">
    <cfRule type="dataBar" priority="19">
      <dataBar>
        <cfvo type="min"/>
        <cfvo type="formula" val="DATEDIF(DATE(CalendarYear,2,1),DATE(CalendarYear,3,1),&quot;d&quot;)"/>
        <color theme="2" tint="-0.249977111117893"/>
      </dataBar>
      <extLst>
        <ext xmlns:x14="http://schemas.microsoft.com/office/spreadsheetml/2009/9/main" uri="{B025F937-C7B1-47D3-B67F-A62EFF666E3E}">
          <x14:id>{E0DCF129-9B2A-4CEB-9E56-27607F4BED20}</x14:id>
        </ext>
      </extLst>
    </cfRule>
  </conditionalFormatting>
  <conditionalFormatting sqref="C2">
    <cfRule type="containsText" dxfId="519" priority="2" operator="containsText" text="V">
      <formula>NOT(ISERROR(SEARCH("V",C2)))</formula>
    </cfRule>
    <cfRule type="containsText" dxfId="518" priority="3" operator="containsText" text="V">
      <formula>NOT(ISERROR(SEARCH("V",C2)))</formula>
    </cfRule>
    <cfRule type="containsText" dxfId="517" priority="9" operator="containsText" text="V">
      <formula>NOT(ISERROR(SEARCH("V",C2)))</formula>
    </cfRule>
    <cfRule type="containsText" dxfId="516" priority="10" operator="containsText" text="V">
      <formula>NOT(ISERROR(SEARCH("V",C2)))</formula>
    </cfRule>
    <cfRule type="containsText" dxfId="515" priority="11" operator="containsText" text="V">
      <formula>NOT(ISERROR(SEARCH("V",C2)))</formula>
    </cfRule>
    <cfRule type="containsText" dxfId="514" priority="12" operator="containsText" text="V">
      <formula>NOT(ISERROR(SEARCH("V",C2)))</formula>
    </cfRule>
  </conditionalFormatting>
  <conditionalFormatting sqref="F2">
    <cfRule type="containsText" dxfId="513" priority="5" operator="containsText" text="e">
      <formula>NOT(ISERROR(SEARCH("e",F2)))</formula>
    </cfRule>
    <cfRule type="cellIs" dxfId="512" priority="6" operator="equal">
      <formula>42767</formula>
    </cfRule>
    <cfRule type="containsText" dxfId="511" priority="7" operator="containsText" text="1/2">
      <formula>NOT(ISERROR(SEARCH("1/2",F2)))</formula>
    </cfRule>
    <cfRule type="containsText" dxfId="510" priority="8" operator="containsText" text="R">
      <formula>NOT(ISERROR(SEARCH("R",F2)))</formula>
    </cfRule>
  </conditionalFormatting>
  <conditionalFormatting sqref="K2">
    <cfRule type="containsText" dxfId="509" priority="1" operator="containsText" text="Z">
      <formula>NOT(ISERROR(SEARCH("Z",K2)))</formula>
    </cfRule>
    <cfRule type="containsText" dxfId="508" priority="4" operator="containsText" text="Z">
      <formula>NOT(ISERROR(SEARCH("Z",K2)))</formula>
    </cfRule>
  </conditionalFormatting>
  <dataValidations count="14">
    <dataValidation allowBlank="1" showInputMessage="1" showErrorMessage="1" prompt="De dagen van de maand in deze rij worden automatisch gegenereerd. Voer de afwezigheid en het type afwezigheid van een werknemer in elke kolom voor elke dag van de maand in. Leeg betekent geen afwezigheid" sqref="C6"/>
    <dataValidation allowBlank="1" showInputMessage="1" showErrorMessage="1" prompt="De naam van de maand van deze afwezigheidsplanning is opgenomen in deze cel. Afwezigheidstotalen voor deze maand zijn opgenomen in de laatste cel van de tabel. Selecteer de werknemersnamen in tabelkolom B" sqref="B4"/>
    <dataValidation allowBlank="1" showInputMessage="1" showErrorMessage="1" prompt="Deze rij definieert de sleutels die worden gebruikt in de tabel: cel C2 is vakantie, G2 is persoonlijk en K2 is ziekteverlof. De cellen N2 en R2 kunnen worden aangepast " sqref="B2"/>
    <dataValidation allowBlank="1" showInputMessage="1" showErrorMessage="1" prompt="Voer links een label om de aangepaste sleutel te beschrijven in" sqref="O2:P2 R2"/>
    <dataValidation allowBlank="1" showInputMessage="1" showErrorMessage="1" prompt="Voer een letter in en pas rechts het label aan om een ander sleutelitem toe te voegen" sqref="N2 Q2"/>
    <dataValidation allowBlank="1" showInputMessage="1" showErrorMessage="1" prompt="De letter &quot;Z&quot; geeft afwezigheid vanwege ziekte aan" sqref="K2"/>
    <dataValidation allowBlank="1" showInputMessage="1" showErrorMessage="1" prompt="De letter &quot;P&quot; geeft afwezigheid vanwege persoonlijke redenen aan" sqref="F2"/>
    <dataValidation allowBlank="1" showInputMessage="1" showErrorMessage="1" prompt="De letter &quot;V&quot; geeft afwezigheid vanwege vakantie aan" sqref="C2"/>
    <dataValidation allowBlank="1" showInputMessage="1" showErrorMessage="1" prompt="De automatisch bijgewerkte titel is in deze cel opgenomen. Als u de titel wilt wijzigen, werk dan B1 in het januari-werkblad bij" sqref="B1"/>
    <dataValidation errorStyle="warning" allowBlank="1" showInputMessage="1" showErrorMessage="1" error="Selecteer een naam in de lijst. Selecteer ANNULEREN, druk dan op ALT+PIJL-OMLAAG en vervolgens op ENTER om een naam te selecteren" prompt="Voer de werknemersnamen in het werkblad met de namen van werknemers in en selecteer vervolgens een van die namen in de lijst in deze kolom. Druk op ALT+PIJL-OMLAAG en vervolgens op ENTER om een naam te selecteren" sqref="B6"/>
    <dataValidation allowBlank="1" showInputMessage="1" showErrorMessage="1" prompt="Houd de afwezigheid in juli in dit werkblad bij" sqref="A1"/>
    <dataValidation allowBlank="1" showInputMessage="1" showErrorMessage="1" prompt="Berekent automatisch het totaal aantal dagen die een werknemer in deze maand niet aanwezig was in deze kolom" sqref="AH6"/>
    <dataValidation allowBlank="1" showInputMessage="1" showErrorMessage="1" prompt="Automatisch bijgewerkt jaar op basis van het jaar dat in het werkblad januari is ingevoerd" sqref="AH4"/>
    <dataValidation allowBlank="1" showInputMessage="1" showErrorMessage="1" prompt="Weekdagen in deze rij worden voor de maand automatisch bijgewerkt op basis van het jaar in AH4. Elke dag van de maand is een kolom om de afwezigheid en het type afwezigheid van een werknemer te noteren" sqref="C5"/>
  </dataValidations>
  <printOptions horizontalCentered="1"/>
  <pageMargins left="0.25" right="0.25" top="0.75" bottom="0.75" header="0.3" footer="0.3"/>
  <pageSetup paperSize="9" scale="72"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E0DCF129-9B2A-4CEB-9E56-27607F4BED20}">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Werknemersnamen!$B$4:$B$8</xm:f>
          </x14:formula1>
          <xm:sqref>B7:B11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pageSetUpPr fitToPage="1"/>
  </sheetPr>
  <dimension ref="A1:AH12"/>
  <sheetViews>
    <sheetView showGridLines="0" zoomScaleNormal="100" workbookViewId="0">
      <selection activeCell="B2" sqref="B2:U2"/>
    </sheetView>
  </sheetViews>
  <sheetFormatPr defaultRowHeight="30" customHeight="1" x14ac:dyDescent="0.25"/>
  <cols>
    <col min="1" max="1" width="2.7109375" style="6" customWidth="1"/>
    <col min="2" max="2" width="25.7109375" style="6" customWidth="1"/>
    <col min="3" max="33" width="4.7109375" style="6" customWidth="1"/>
    <col min="34" max="34" width="20.7109375" style="6" customWidth="1"/>
    <col min="35" max="35" width="2.7109375" customWidth="1"/>
  </cols>
  <sheetData>
    <row r="1" spans="2:34" ht="50.1" customHeight="1" x14ac:dyDescent="0.25">
      <c r="B1" s="9" t="str">
        <f>Employee_Absence_Title</f>
        <v>Werknemersafwezigheidsplanning</v>
      </c>
    </row>
    <row r="2" spans="2:34" ht="15" customHeight="1" x14ac:dyDescent="0.25">
      <c r="B2" s="18"/>
      <c r="C2" s="3" t="s">
        <v>3</v>
      </c>
      <c r="D2" s="50" t="s">
        <v>61</v>
      </c>
      <c r="E2" s="51"/>
      <c r="F2" s="20" t="s">
        <v>59</v>
      </c>
      <c r="G2" s="52" t="s">
        <v>60</v>
      </c>
      <c r="H2" s="53"/>
      <c r="I2" s="53"/>
      <c r="J2" s="53"/>
      <c r="K2" s="25" t="s">
        <v>9</v>
      </c>
      <c r="L2" s="24" t="s">
        <v>15</v>
      </c>
      <c r="M2" s="23"/>
      <c r="N2" s="29" t="s">
        <v>62</v>
      </c>
      <c r="O2" s="27" t="s">
        <v>63</v>
      </c>
      <c r="P2" s="17"/>
      <c r="Q2" s="28" t="s">
        <v>65</v>
      </c>
      <c r="R2" s="54" t="s">
        <v>64</v>
      </c>
      <c r="S2" s="53"/>
      <c r="T2" s="53"/>
      <c r="U2" s="53"/>
    </row>
    <row r="3" spans="2:34" ht="15" customHeight="1" x14ac:dyDescent="0.25">
      <c r="B3" s="9"/>
    </row>
    <row r="4" spans="2:34" ht="30" customHeight="1" x14ac:dyDescent="0.25">
      <c r="B4" s="7" t="s">
        <v>47</v>
      </c>
      <c r="C4" s="55" t="s">
        <v>4</v>
      </c>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7">
        <f>CalendarYear</f>
        <v>2017</v>
      </c>
    </row>
    <row r="5" spans="2:34" ht="15" customHeight="1" x14ac:dyDescent="0.25">
      <c r="B5" s="7"/>
      <c r="C5" s="1" t="str">
        <f>TEXT(WEEKDAY(DATE(CalendarYear,8,1),1),"aaa")</f>
        <v>di</v>
      </c>
      <c r="D5" s="1" t="str">
        <f>TEXT(WEEKDAY(DATE(CalendarYear,8,2),1),"aaa")</f>
        <v>wo</v>
      </c>
      <c r="E5" s="1" t="str">
        <f>TEXT(WEEKDAY(DATE(CalendarYear,8,3),1),"aaa")</f>
        <v>do</v>
      </c>
      <c r="F5" s="1" t="str">
        <f>TEXT(WEEKDAY(DATE(CalendarYear,8,4),1),"aaa")</f>
        <v>vr</v>
      </c>
      <c r="G5" s="1" t="str">
        <f>TEXT(WEEKDAY(DATE(CalendarYear,8,5),1),"aaa")</f>
        <v>za</v>
      </c>
      <c r="H5" s="1" t="str">
        <f>TEXT(WEEKDAY(DATE(CalendarYear,8,6),1),"aaa")</f>
        <v>zo</v>
      </c>
      <c r="I5" s="1" t="str">
        <f>TEXT(WEEKDAY(DATE(CalendarYear,8,7),1),"aaa")</f>
        <v>ma</v>
      </c>
      <c r="J5" s="1" t="str">
        <f>TEXT(WEEKDAY(DATE(CalendarYear,8,8),1),"aaa")</f>
        <v>di</v>
      </c>
      <c r="K5" s="1" t="str">
        <f>TEXT(WEEKDAY(DATE(CalendarYear,8,9),1),"aaa")</f>
        <v>wo</v>
      </c>
      <c r="L5" s="1" t="str">
        <f>TEXT(WEEKDAY(DATE(CalendarYear,8,10),1),"aaa")</f>
        <v>do</v>
      </c>
      <c r="M5" s="1" t="str">
        <f>TEXT(WEEKDAY(DATE(CalendarYear,8,11),1),"aaa")</f>
        <v>vr</v>
      </c>
      <c r="N5" s="1" t="str">
        <f>TEXT(WEEKDAY(DATE(CalendarYear,8,12),1),"aaa")</f>
        <v>za</v>
      </c>
      <c r="O5" s="1" t="str">
        <f>TEXT(WEEKDAY(DATE(CalendarYear,8,13),1),"aaa")</f>
        <v>zo</v>
      </c>
      <c r="P5" s="1" t="str">
        <f>TEXT(WEEKDAY(DATE(CalendarYear,8,14),1),"aaa")</f>
        <v>ma</v>
      </c>
      <c r="Q5" s="1" t="str">
        <f>TEXT(WEEKDAY(DATE(CalendarYear,8,15),1),"aaa")</f>
        <v>di</v>
      </c>
      <c r="R5" s="1" t="str">
        <f>TEXT(WEEKDAY(DATE(CalendarYear,8,16),1),"aaa")</f>
        <v>wo</v>
      </c>
      <c r="S5" s="1" t="str">
        <f>TEXT(WEEKDAY(DATE(CalendarYear,8,17),1),"aaa")</f>
        <v>do</v>
      </c>
      <c r="T5" s="1" t="str">
        <f>TEXT(WEEKDAY(DATE(CalendarYear,8,18),1),"aaa")</f>
        <v>vr</v>
      </c>
      <c r="U5" s="1" t="str">
        <f>TEXT(WEEKDAY(DATE(CalendarYear,8,19),1),"aaa")</f>
        <v>za</v>
      </c>
      <c r="V5" s="1" t="str">
        <f>TEXT(WEEKDAY(DATE(CalendarYear,8,20),1),"aaa")</f>
        <v>zo</v>
      </c>
      <c r="W5" s="1" t="str">
        <f>TEXT(WEEKDAY(DATE(CalendarYear,8,21),1),"aaa")</f>
        <v>ma</v>
      </c>
      <c r="X5" s="1" t="str">
        <f>TEXT(WEEKDAY(DATE(CalendarYear,8,22),1),"aaa")</f>
        <v>di</v>
      </c>
      <c r="Y5" s="1" t="str">
        <f>TEXT(WEEKDAY(DATE(CalendarYear,8,23),1),"aaa")</f>
        <v>wo</v>
      </c>
      <c r="Z5" s="1" t="str">
        <f>TEXT(WEEKDAY(DATE(CalendarYear,8,24),1),"aaa")</f>
        <v>do</v>
      </c>
      <c r="AA5" s="1" t="str">
        <f>TEXT(WEEKDAY(DATE(CalendarYear,8,25),1),"aaa")</f>
        <v>vr</v>
      </c>
      <c r="AB5" s="1" t="str">
        <f>TEXT(WEEKDAY(DATE(CalendarYear,8,26),1),"aaa")</f>
        <v>za</v>
      </c>
      <c r="AC5" s="1" t="str">
        <f>TEXT(WEEKDAY(DATE(CalendarYear,8,27),1),"aaa")</f>
        <v>zo</v>
      </c>
      <c r="AD5" s="1" t="str">
        <f>TEXT(WEEKDAY(DATE(CalendarYear,8,28),1),"aaa")</f>
        <v>ma</v>
      </c>
      <c r="AE5" s="1" t="str">
        <f>TEXT(WEEKDAY(DATE(CalendarYear,8,29),1),"aaa")</f>
        <v>di</v>
      </c>
      <c r="AF5" s="1" t="str">
        <f>TEXT(WEEKDAY(DATE(CalendarYear,8,30),1),"aaa")</f>
        <v>wo</v>
      </c>
      <c r="AG5" s="1" t="str">
        <f>TEXT(WEEKDAY(DATE(CalendarYear,8,31),1),"aaa")</f>
        <v>do</v>
      </c>
      <c r="AH5" s="7"/>
    </row>
    <row r="6" spans="2:34" ht="15" customHeight="1" x14ac:dyDescent="0.25">
      <c r="B6" s="10" t="s">
        <v>2</v>
      </c>
      <c r="C6" s="2" t="s">
        <v>5</v>
      </c>
      <c r="D6" s="2" t="s">
        <v>6</v>
      </c>
      <c r="E6" s="2" t="s">
        <v>7</v>
      </c>
      <c r="F6" s="2" t="s">
        <v>8</v>
      </c>
      <c r="G6" s="2" t="s">
        <v>10</v>
      </c>
      <c r="H6" s="2" t="s">
        <v>11</v>
      </c>
      <c r="I6" s="2" t="s">
        <v>12</v>
      </c>
      <c r="J6" s="2" t="s">
        <v>13</v>
      </c>
      <c r="K6" s="2" t="s">
        <v>14</v>
      </c>
      <c r="L6" s="2" t="s">
        <v>16</v>
      </c>
      <c r="M6" s="2" t="s">
        <v>17</v>
      </c>
      <c r="N6" s="2" t="s">
        <v>18</v>
      </c>
      <c r="O6" s="2" t="s">
        <v>19</v>
      </c>
      <c r="P6" s="2" t="s">
        <v>20</v>
      </c>
      <c r="Q6" s="2" t="s">
        <v>21</v>
      </c>
      <c r="R6" s="2" t="s">
        <v>22</v>
      </c>
      <c r="S6" s="2" t="s">
        <v>23</v>
      </c>
      <c r="T6" s="2" t="s">
        <v>24</v>
      </c>
      <c r="U6" s="2" t="s">
        <v>25</v>
      </c>
      <c r="V6" s="2" t="s">
        <v>26</v>
      </c>
      <c r="W6" s="2" t="s">
        <v>27</v>
      </c>
      <c r="X6" s="2" t="s">
        <v>28</v>
      </c>
      <c r="Y6" s="2" t="s">
        <v>29</v>
      </c>
      <c r="Z6" s="2" t="s">
        <v>30</v>
      </c>
      <c r="AA6" s="2" t="s">
        <v>31</v>
      </c>
      <c r="AB6" s="2" t="s">
        <v>32</v>
      </c>
      <c r="AC6" s="2" t="s">
        <v>33</v>
      </c>
      <c r="AD6" s="2" t="s">
        <v>34</v>
      </c>
      <c r="AE6" s="2" t="s">
        <v>35</v>
      </c>
      <c r="AF6" s="2" t="s">
        <v>36</v>
      </c>
      <c r="AG6" s="2" t="s">
        <v>37</v>
      </c>
      <c r="AH6" s="11" t="s">
        <v>39</v>
      </c>
    </row>
    <row r="7" spans="2:34" ht="30" customHeight="1" x14ac:dyDescent="0.25">
      <c r="B7" s="4" t="s">
        <v>54</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5">
        <f>COUNTA(Augustus[[#This Row],[1]:[31]])</f>
        <v>0</v>
      </c>
    </row>
    <row r="8" spans="2:34" ht="30" customHeight="1" x14ac:dyDescent="0.25">
      <c r="B8" s="4" t="s">
        <v>55</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5">
        <f>COUNTA(Augustus[[#This Row],[1]:[31]])</f>
        <v>0</v>
      </c>
    </row>
    <row r="9" spans="2:34" ht="30" customHeight="1" x14ac:dyDescent="0.25">
      <c r="B9" s="4" t="s">
        <v>56</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5">
        <f>COUNTA(Augustus[[#This Row],[1]:[31]])</f>
        <v>0</v>
      </c>
    </row>
    <row r="10" spans="2:34" ht="30" customHeight="1" x14ac:dyDescent="0.25">
      <c r="B10" s="4" t="s">
        <v>57</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5">
        <f>COUNTA(Augustus[[#This Row],[1]:[31]])</f>
        <v>0</v>
      </c>
    </row>
    <row r="11" spans="2:34" ht="30" customHeight="1" x14ac:dyDescent="0.25">
      <c r="B11" s="4" t="s">
        <v>58</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5">
        <f>COUNTA(Augustus[[#This Row],[1]:[31]])</f>
        <v>0</v>
      </c>
    </row>
    <row r="12" spans="2:34" ht="30" customHeight="1" x14ac:dyDescent="0.25">
      <c r="B12" s="14" t="str">
        <f>MonthName&amp;" totaal"</f>
        <v>Augustus totaal</v>
      </c>
      <c r="C12" s="8">
        <f>SUBTOTAL(103,Augustus[1])</f>
        <v>0</v>
      </c>
      <c r="D12" s="8">
        <f>SUBTOTAL(103,Augustus[2])</f>
        <v>0</v>
      </c>
      <c r="E12" s="8">
        <f>SUBTOTAL(103,Augustus[3])</f>
        <v>0</v>
      </c>
      <c r="F12" s="8">
        <f>SUBTOTAL(103,Augustus[4])</f>
        <v>0</v>
      </c>
      <c r="G12" s="8">
        <f>SUBTOTAL(103,Augustus[5])</f>
        <v>0</v>
      </c>
      <c r="H12" s="8">
        <f>SUBTOTAL(103,Augustus[6])</f>
        <v>0</v>
      </c>
      <c r="I12" s="8">
        <f>SUBTOTAL(103,Augustus[7])</f>
        <v>0</v>
      </c>
      <c r="J12" s="8">
        <f>SUBTOTAL(103,Augustus[8])</f>
        <v>0</v>
      </c>
      <c r="K12" s="8">
        <f>SUBTOTAL(103,Augustus[9])</f>
        <v>0</v>
      </c>
      <c r="L12" s="8">
        <f>SUBTOTAL(103,Augustus[10])</f>
        <v>0</v>
      </c>
      <c r="M12" s="8">
        <f>SUBTOTAL(103,Augustus[11])</f>
        <v>0</v>
      </c>
      <c r="N12" s="8">
        <f>SUBTOTAL(103,Augustus[12])</f>
        <v>0</v>
      </c>
      <c r="O12" s="8">
        <f>SUBTOTAL(103,Augustus[13])</f>
        <v>0</v>
      </c>
      <c r="P12" s="8">
        <f>SUBTOTAL(103,Augustus[14])</f>
        <v>0</v>
      </c>
      <c r="Q12" s="8">
        <f>SUBTOTAL(103,Augustus[15])</f>
        <v>0</v>
      </c>
      <c r="R12" s="8">
        <f>SUBTOTAL(103,Augustus[16])</f>
        <v>0</v>
      </c>
      <c r="S12" s="8">
        <f>SUBTOTAL(103,Augustus[17])</f>
        <v>0</v>
      </c>
      <c r="T12" s="8">
        <f>SUBTOTAL(103,Augustus[18])</f>
        <v>0</v>
      </c>
      <c r="U12" s="8">
        <f>SUBTOTAL(103,Augustus[19])</f>
        <v>0</v>
      </c>
      <c r="V12" s="8">
        <f>SUBTOTAL(103,Augustus[20])</f>
        <v>0</v>
      </c>
      <c r="W12" s="8">
        <f>SUBTOTAL(103,Augustus[21])</f>
        <v>0</v>
      </c>
      <c r="X12" s="8">
        <f>SUBTOTAL(103,Augustus[22])</f>
        <v>0</v>
      </c>
      <c r="Y12" s="8">
        <f>SUBTOTAL(103,Augustus[23])</f>
        <v>0</v>
      </c>
      <c r="Z12" s="8">
        <f>SUBTOTAL(103,Augustus[24])</f>
        <v>0</v>
      </c>
      <c r="AA12" s="8">
        <f>SUBTOTAL(103,Augustus[25])</f>
        <v>0</v>
      </c>
      <c r="AB12" s="8">
        <f>SUBTOTAL(103,Augustus[26])</f>
        <v>0</v>
      </c>
      <c r="AC12" s="8">
        <f>SUBTOTAL(103,Augustus[27])</f>
        <v>0</v>
      </c>
      <c r="AD12" s="8">
        <f>SUBTOTAL(103,Augustus[28])</f>
        <v>0</v>
      </c>
      <c r="AE12" s="8">
        <f>SUBTOTAL(103,Augustus[29])</f>
        <v>0</v>
      </c>
      <c r="AF12" s="8">
        <f>SUBTOTAL(109,Augustus[30])</f>
        <v>0</v>
      </c>
      <c r="AG12" s="8">
        <f>SUBTOTAL(109,Augustus[31])</f>
        <v>0</v>
      </c>
      <c r="AH12" s="8">
        <f>SUBTOTAL(109,Augustus[Totaal aantal dagen])</f>
        <v>0</v>
      </c>
    </row>
  </sheetData>
  <mergeCells count="4">
    <mergeCell ref="C4:AG4"/>
    <mergeCell ref="D2:E2"/>
    <mergeCell ref="G2:J2"/>
    <mergeCell ref="R2:U2"/>
  </mergeCells>
  <conditionalFormatting sqref="C7:AG11">
    <cfRule type="expression" priority="13" stopIfTrue="1">
      <formula>C7=""</formula>
    </cfRule>
  </conditionalFormatting>
  <conditionalFormatting sqref="C7:AG11">
    <cfRule type="expression" dxfId="438" priority="14" stopIfTrue="1">
      <formula>C7=KeyCustom2</formula>
    </cfRule>
    <cfRule type="expression" dxfId="437" priority="15" stopIfTrue="1">
      <formula>C7=KeyCustom1</formula>
    </cfRule>
    <cfRule type="expression" dxfId="436" priority="16" stopIfTrue="1">
      <formula>C7=KeySick</formula>
    </cfRule>
    <cfRule type="expression" dxfId="435" priority="17" stopIfTrue="1">
      <formula>C7=KeyPersonal</formula>
    </cfRule>
    <cfRule type="expression" dxfId="434" priority="18" stopIfTrue="1">
      <formula>C7=KeyVacation</formula>
    </cfRule>
  </conditionalFormatting>
  <conditionalFormatting sqref="AH7:AH11">
    <cfRule type="dataBar" priority="19">
      <dataBar>
        <cfvo type="min"/>
        <cfvo type="formula" val="DATEDIF(DATE(CalendarYear,2,1),DATE(CalendarYear,3,1),&quot;d&quot;)"/>
        <color theme="2" tint="-0.249977111117893"/>
      </dataBar>
      <extLst>
        <ext xmlns:x14="http://schemas.microsoft.com/office/spreadsheetml/2009/9/main" uri="{B025F937-C7B1-47D3-B67F-A62EFF666E3E}">
          <x14:id>{09900229-9536-43AB-AAE0-FC121BDECD61}</x14:id>
        </ext>
      </extLst>
    </cfRule>
  </conditionalFormatting>
  <conditionalFormatting sqref="C2">
    <cfRule type="containsText" dxfId="433" priority="2" operator="containsText" text="V">
      <formula>NOT(ISERROR(SEARCH("V",C2)))</formula>
    </cfRule>
    <cfRule type="containsText" dxfId="432" priority="3" operator="containsText" text="V">
      <formula>NOT(ISERROR(SEARCH("V",C2)))</formula>
    </cfRule>
    <cfRule type="containsText" dxfId="431" priority="9" operator="containsText" text="V">
      <formula>NOT(ISERROR(SEARCH("V",C2)))</formula>
    </cfRule>
    <cfRule type="containsText" dxfId="430" priority="10" operator="containsText" text="V">
      <formula>NOT(ISERROR(SEARCH("V",C2)))</formula>
    </cfRule>
    <cfRule type="containsText" dxfId="429" priority="11" operator="containsText" text="V">
      <formula>NOT(ISERROR(SEARCH("V",C2)))</formula>
    </cfRule>
    <cfRule type="containsText" dxfId="428" priority="12" operator="containsText" text="V">
      <formula>NOT(ISERROR(SEARCH("V",C2)))</formula>
    </cfRule>
  </conditionalFormatting>
  <conditionalFormatting sqref="F2">
    <cfRule type="containsText" dxfId="427" priority="5" operator="containsText" text="e">
      <formula>NOT(ISERROR(SEARCH("e",F2)))</formula>
    </cfRule>
    <cfRule type="cellIs" dxfId="426" priority="6" operator="equal">
      <formula>42767</formula>
    </cfRule>
    <cfRule type="containsText" dxfId="425" priority="7" operator="containsText" text="1/2">
      <formula>NOT(ISERROR(SEARCH("1/2",F2)))</formula>
    </cfRule>
    <cfRule type="containsText" dxfId="424" priority="8" operator="containsText" text="R">
      <formula>NOT(ISERROR(SEARCH("R",F2)))</formula>
    </cfRule>
  </conditionalFormatting>
  <conditionalFormatting sqref="K2">
    <cfRule type="containsText" dxfId="423" priority="1" operator="containsText" text="Z">
      <formula>NOT(ISERROR(SEARCH("Z",K2)))</formula>
    </cfRule>
    <cfRule type="containsText" dxfId="422" priority="4" operator="containsText" text="Z">
      <formula>NOT(ISERROR(SEARCH("Z",K2)))</formula>
    </cfRule>
  </conditionalFormatting>
  <dataValidations count="14">
    <dataValidation allowBlank="1" showInputMessage="1" showErrorMessage="1" prompt="Weekdagen in deze rij worden voor de maand automatisch bijgewerkt op basis van het jaar in AH4. Elke dag van de maand is een kolom om de afwezigheid en het type afwezigheid van een werknemer te noteren" sqref="C5"/>
    <dataValidation allowBlank="1" showInputMessage="1" showErrorMessage="1" prompt="Automatisch bijgewerkt jaar op basis van het jaar dat in het werkblad januari is ingevoerd" sqref="AH4"/>
    <dataValidation allowBlank="1" showInputMessage="1" showErrorMessage="1" prompt="Berekent automatisch het totaal aantal dagen die een werknemer in deze maand niet aanwezig was in deze kolom" sqref="AH6"/>
    <dataValidation allowBlank="1" showInputMessage="1" showErrorMessage="1" prompt="Houd de afwezigheid in augustus in dit werkblad bij" sqref="A1"/>
    <dataValidation errorStyle="warning" allowBlank="1" showInputMessage="1" showErrorMessage="1" error="Selecteer een naam in de lijst. Selecteer ANNULEREN, druk dan op ALT+PIJL-OMLAAG en vervolgens op ENTER om een naam te selecteren" prompt="Voer de werknemersnamen in het werkblad met de namen van werknemers in en selecteer vervolgens een van die namen in de lijst in deze kolom. Druk op ALT+PIJL-OMLAAG en vervolgens op ENTER om een naam te selecteren" sqref="B6"/>
    <dataValidation allowBlank="1" showInputMessage="1" showErrorMessage="1" prompt="De automatisch bijgewerkte titel is in deze cel opgenomen. Als u de titel wilt wijzigen, werk dan B1 in het januari-werkblad bij" sqref="B1"/>
    <dataValidation allowBlank="1" showInputMessage="1" showErrorMessage="1" prompt="De letter &quot;V&quot; geeft afwezigheid vanwege vakantie aan" sqref="C2"/>
    <dataValidation allowBlank="1" showInputMessage="1" showErrorMessage="1" prompt="De letter &quot;P&quot; geeft afwezigheid vanwege persoonlijke redenen aan" sqref="F2"/>
    <dataValidation allowBlank="1" showInputMessage="1" showErrorMessage="1" prompt="De letter &quot;Z&quot; geeft afwezigheid vanwege ziekte aan" sqref="K2"/>
    <dataValidation allowBlank="1" showInputMessage="1" showErrorMessage="1" prompt="Voer een letter in en pas rechts het label aan om een ander sleutelitem toe te voegen" sqref="N2 Q2"/>
    <dataValidation allowBlank="1" showInputMessage="1" showErrorMessage="1" prompt="Voer links een label om de aangepaste sleutel te beschrijven in" sqref="O2:P2 R2"/>
    <dataValidation allowBlank="1" showInputMessage="1" showErrorMessage="1" prompt="Deze rij definieert de sleutels die worden gebruikt in de tabel: cel C2 is vakantie, G2 is persoonlijk en K2 is ziekteverlof. De cellen N2 en R2 kunnen worden aangepast " sqref="B2"/>
    <dataValidation allowBlank="1" showInputMessage="1" showErrorMessage="1" prompt="De naam van de maand van deze afwezigheidsplanning is opgenomen in deze cel. Afwezigheidstotalen voor deze maand zijn opgenomen in de laatste cel van de tabel. Selecteer de werknemersnamen in tabelkolom B" sqref="B4"/>
    <dataValidation allowBlank="1" showInputMessage="1" showErrorMessage="1" prompt="De dagen van de maand in deze rij worden automatisch gegenereerd. Voer de afwezigheid en het type afwezigheid van een werknemer in elke kolom voor elke dag van de maand in. Leeg betekent geen afwezigheid" sqref="C6"/>
  </dataValidations>
  <printOptions horizontalCentered="1"/>
  <pageMargins left="0.25" right="0.25" top="0.75" bottom="0.75" header="0.3" footer="0.3"/>
  <pageSetup paperSize="9" scale="72"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09900229-9536-43AB-AAE0-FC121BDECD61}">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Werknemersnamen!$B$4:$B$8</xm:f>
          </x14:formula1>
          <xm:sqref>B7:B11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AH12"/>
  <sheetViews>
    <sheetView showGridLines="0" zoomScaleNormal="100" workbookViewId="0">
      <selection activeCell="B2" sqref="B2:U2"/>
    </sheetView>
  </sheetViews>
  <sheetFormatPr defaultRowHeight="30" customHeight="1" x14ac:dyDescent="0.25"/>
  <cols>
    <col min="1" max="1" width="2.7109375" style="6" customWidth="1"/>
    <col min="2" max="2" width="25.7109375" style="6" customWidth="1"/>
    <col min="3" max="33" width="4.7109375" style="6" customWidth="1"/>
    <col min="34" max="34" width="20.7109375" style="6" customWidth="1"/>
    <col min="35" max="35" width="2.7109375" customWidth="1"/>
  </cols>
  <sheetData>
    <row r="1" spans="2:34" ht="50.1" customHeight="1" x14ac:dyDescent="0.25">
      <c r="B1" s="9" t="str">
        <f>Employee_Absence_Title</f>
        <v>Werknemersafwezigheidsplanning</v>
      </c>
    </row>
    <row r="2" spans="2:34" ht="15" customHeight="1" x14ac:dyDescent="0.25">
      <c r="B2" s="18"/>
      <c r="C2" s="3" t="s">
        <v>3</v>
      </c>
      <c r="D2" s="50" t="s">
        <v>61</v>
      </c>
      <c r="E2" s="51"/>
      <c r="F2" s="20" t="s">
        <v>59</v>
      </c>
      <c r="G2" s="52" t="s">
        <v>60</v>
      </c>
      <c r="H2" s="53"/>
      <c r="I2" s="53"/>
      <c r="J2" s="53"/>
      <c r="K2" s="25" t="s">
        <v>9</v>
      </c>
      <c r="L2" s="24" t="s">
        <v>15</v>
      </c>
      <c r="M2" s="23"/>
      <c r="N2" s="29" t="s">
        <v>62</v>
      </c>
      <c r="O2" s="27" t="s">
        <v>63</v>
      </c>
      <c r="P2" s="17"/>
      <c r="Q2" s="28" t="s">
        <v>65</v>
      </c>
      <c r="R2" s="54" t="s">
        <v>64</v>
      </c>
      <c r="S2" s="53"/>
      <c r="T2" s="53"/>
      <c r="U2" s="53"/>
    </row>
    <row r="3" spans="2:34" ht="15" customHeight="1" x14ac:dyDescent="0.25">
      <c r="B3" s="9"/>
    </row>
    <row r="4" spans="2:34" ht="30" customHeight="1" x14ac:dyDescent="0.25">
      <c r="B4" s="7" t="s">
        <v>53</v>
      </c>
      <c r="C4" s="55" t="s">
        <v>4</v>
      </c>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7">
        <f>CalendarYear</f>
        <v>2017</v>
      </c>
    </row>
    <row r="5" spans="2:34" ht="15" customHeight="1" x14ac:dyDescent="0.25">
      <c r="B5" s="7"/>
      <c r="C5" s="1" t="str">
        <f>TEXT(WEEKDAY(DATE(CalendarYear,9,1),1),"aaa")</f>
        <v>vr</v>
      </c>
      <c r="D5" s="1" t="str">
        <f>TEXT(WEEKDAY(DATE(CalendarYear,9,2),1),"aaa")</f>
        <v>za</v>
      </c>
      <c r="E5" s="1" t="str">
        <f>TEXT(WEEKDAY(DATE(CalendarYear,9,3),1),"aaa")</f>
        <v>zo</v>
      </c>
      <c r="F5" s="1" t="str">
        <f>TEXT(WEEKDAY(DATE(CalendarYear,9,4),1),"aaa")</f>
        <v>ma</v>
      </c>
      <c r="G5" s="1" t="str">
        <f>TEXT(WEEKDAY(DATE(CalendarYear,9,5),1),"aaa")</f>
        <v>di</v>
      </c>
      <c r="H5" s="1" t="str">
        <f>TEXT(WEEKDAY(DATE(CalendarYear,9,6),1),"aaa")</f>
        <v>wo</v>
      </c>
      <c r="I5" s="1" t="str">
        <f>TEXT(WEEKDAY(DATE(CalendarYear,9,7),1),"aaa")</f>
        <v>do</v>
      </c>
      <c r="J5" s="1" t="str">
        <f>TEXT(WEEKDAY(DATE(CalendarYear,9,8),1),"aaa")</f>
        <v>vr</v>
      </c>
      <c r="K5" s="1" t="str">
        <f>TEXT(WEEKDAY(DATE(CalendarYear,9,9),1),"aaa")</f>
        <v>za</v>
      </c>
      <c r="L5" s="1" t="str">
        <f>TEXT(WEEKDAY(DATE(CalendarYear,9,10),1),"aaa")</f>
        <v>zo</v>
      </c>
      <c r="M5" s="1" t="str">
        <f>TEXT(WEEKDAY(DATE(CalendarYear,9,11),1),"aaa")</f>
        <v>ma</v>
      </c>
      <c r="N5" s="1" t="str">
        <f>TEXT(WEEKDAY(DATE(CalendarYear,9,12),1),"aaa")</f>
        <v>di</v>
      </c>
      <c r="O5" s="1" t="str">
        <f>TEXT(WEEKDAY(DATE(CalendarYear,9,13),1),"aaa")</f>
        <v>wo</v>
      </c>
      <c r="P5" s="1" t="str">
        <f>TEXT(WEEKDAY(DATE(CalendarYear,9,14),1),"aaa")</f>
        <v>do</v>
      </c>
      <c r="Q5" s="1" t="str">
        <f>TEXT(WEEKDAY(DATE(CalendarYear,9,15),1),"aaa")</f>
        <v>vr</v>
      </c>
      <c r="R5" s="1" t="str">
        <f>TEXT(WEEKDAY(DATE(CalendarYear,9,16),1),"aaa")</f>
        <v>za</v>
      </c>
      <c r="S5" s="1" t="str">
        <f>TEXT(WEEKDAY(DATE(CalendarYear,9,17),1),"aaa")</f>
        <v>zo</v>
      </c>
      <c r="T5" s="1" t="str">
        <f>TEXT(WEEKDAY(DATE(CalendarYear,9,18),1),"aaa")</f>
        <v>ma</v>
      </c>
      <c r="U5" s="1" t="str">
        <f>TEXT(WEEKDAY(DATE(CalendarYear,9,19),1),"aaa")</f>
        <v>di</v>
      </c>
      <c r="V5" s="1" t="str">
        <f>TEXT(WEEKDAY(DATE(CalendarYear,9,20),1),"aaa")</f>
        <v>wo</v>
      </c>
      <c r="W5" s="1" t="str">
        <f>TEXT(WEEKDAY(DATE(CalendarYear,9,21),1),"aaa")</f>
        <v>do</v>
      </c>
      <c r="X5" s="1" t="str">
        <f>TEXT(WEEKDAY(DATE(CalendarYear,9,22),1),"aaa")</f>
        <v>vr</v>
      </c>
      <c r="Y5" s="1" t="str">
        <f>TEXT(WEEKDAY(DATE(CalendarYear,9,23),1),"aaa")</f>
        <v>za</v>
      </c>
      <c r="Z5" s="1" t="str">
        <f>TEXT(WEEKDAY(DATE(CalendarYear,9,24),1),"aaa")</f>
        <v>zo</v>
      </c>
      <c r="AA5" s="1" t="str">
        <f>TEXT(WEEKDAY(DATE(CalendarYear,9,25),1),"aaa")</f>
        <v>ma</v>
      </c>
      <c r="AB5" s="1" t="str">
        <f>TEXT(WEEKDAY(DATE(CalendarYear,9,26),1),"aaa")</f>
        <v>di</v>
      </c>
      <c r="AC5" s="1" t="str">
        <f>TEXT(WEEKDAY(DATE(CalendarYear,9,27),1),"aaa")</f>
        <v>wo</v>
      </c>
      <c r="AD5" s="1" t="str">
        <f>TEXT(WEEKDAY(DATE(CalendarYear,9,28),1),"aaa")</f>
        <v>do</v>
      </c>
      <c r="AE5" s="1" t="str">
        <f>TEXT(WEEKDAY(DATE(CalendarYear,9,29),1),"aaa")</f>
        <v>vr</v>
      </c>
      <c r="AF5" s="1" t="str">
        <f>TEXT(WEEKDAY(DATE(CalendarYear,9,30),1),"aaa")</f>
        <v>za</v>
      </c>
      <c r="AG5" s="1"/>
      <c r="AH5" s="7"/>
    </row>
    <row r="6" spans="2:34" ht="15" customHeight="1" x14ac:dyDescent="0.25">
      <c r="B6" s="10" t="s">
        <v>2</v>
      </c>
      <c r="C6" s="2" t="s">
        <v>5</v>
      </c>
      <c r="D6" s="2" t="s">
        <v>6</v>
      </c>
      <c r="E6" s="2" t="s">
        <v>7</v>
      </c>
      <c r="F6" s="2" t="s">
        <v>8</v>
      </c>
      <c r="G6" s="2" t="s">
        <v>10</v>
      </c>
      <c r="H6" s="2" t="s">
        <v>11</v>
      </c>
      <c r="I6" s="2" t="s">
        <v>12</v>
      </c>
      <c r="J6" s="2" t="s">
        <v>13</v>
      </c>
      <c r="K6" s="2" t="s">
        <v>14</v>
      </c>
      <c r="L6" s="2" t="s">
        <v>16</v>
      </c>
      <c r="M6" s="2" t="s">
        <v>17</v>
      </c>
      <c r="N6" s="2" t="s">
        <v>18</v>
      </c>
      <c r="O6" s="2" t="s">
        <v>19</v>
      </c>
      <c r="P6" s="2" t="s">
        <v>20</v>
      </c>
      <c r="Q6" s="2" t="s">
        <v>21</v>
      </c>
      <c r="R6" s="2" t="s">
        <v>22</v>
      </c>
      <c r="S6" s="2" t="s">
        <v>23</v>
      </c>
      <c r="T6" s="2" t="s">
        <v>24</v>
      </c>
      <c r="U6" s="2" t="s">
        <v>25</v>
      </c>
      <c r="V6" s="2" t="s">
        <v>26</v>
      </c>
      <c r="W6" s="2" t="s">
        <v>27</v>
      </c>
      <c r="X6" s="2" t="s">
        <v>28</v>
      </c>
      <c r="Y6" s="2" t="s">
        <v>29</v>
      </c>
      <c r="Z6" s="2" t="s">
        <v>30</v>
      </c>
      <c r="AA6" s="2" t="s">
        <v>31</v>
      </c>
      <c r="AB6" s="2" t="s">
        <v>32</v>
      </c>
      <c r="AC6" s="2" t="s">
        <v>33</v>
      </c>
      <c r="AD6" s="2" t="s">
        <v>34</v>
      </c>
      <c r="AE6" s="2" t="s">
        <v>35</v>
      </c>
      <c r="AF6" s="2" t="s">
        <v>36</v>
      </c>
      <c r="AG6" s="2" t="s">
        <v>37</v>
      </c>
      <c r="AH6" s="11" t="s">
        <v>39</v>
      </c>
    </row>
    <row r="7" spans="2:34" ht="30" customHeight="1" x14ac:dyDescent="0.25">
      <c r="B7" s="4" t="s">
        <v>54</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5">
        <f>COUNTA(September[[#This Row],[1]:[31]])</f>
        <v>0</v>
      </c>
    </row>
    <row r="8" spans="2:34" ht="30" customHeight="1" x14ac:dyDescent="0.25">
      <c r="B8" s="4" t="s">
        <v>55</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5">
        <f>COUNTA(September[[#This Row],[1]:[31]])</f>
        <v>0</v>
      </c>
    </row>
    <row r="9" spans="2:34" ht="30" customHeight="1" x14ac:dyDescent="0.25">
      <c r="B9" s="4" t="s">
        <v>56</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5">
        <f>COUNTA(September[[#This Row],[1]:[31]])</f>
        <v>0</v>
      </c>
    </row>
    <row r="10" spans="2:34" ht="30" customHeight="1" x14ac:dyDescent="0.25">
      <c r="B10" s="4" t="s">
        <v>57</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5">
        <f>COUNTA(September[[#This Row],[1]:[31]])</f>
        <v>0</v>
      </c>
    </row>
    <row r="11" spans="2:34" ht="30" customHeight="1" x14ac:dyDescent="0.25">
      <c r="B11" s="4" t="s">
        <v>58</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5">
        <f>COUNTA(September[[#This Row],[1]:[31]])</f>
        <v>0</v>
      </c>
    </row>
    <row r="12" spans="2:34" ht="30" customHeight="1" x14ac:dyDescent="0.25">
      <c r="B12" s="14" t="str">
        <f>MonthName&amp;" totaal"</f>
        <v>September totaal</v>
      </c>
      <c r="C12" s="8">
        <f>SUBTOTAL(103,September[1])</f>
        <v>0</v>
      </c>
      <c r="D12" s="8">
        <f>SUBTOTAL(103,September[2])</f>
        <v>0</v>
      </c>
      <c r="E12" s="8">
        <f>SUBTOTAL(103,September[3])</f>
        <v>0</v>
      </c>
      <c r="F12" s="8">
        <f>SUBTOTAL(103,September[4])</f>
        <v>0</v>
      </c>
      <c r="G12" s="8">
        <f>SUBTOTAL(103,September[5])</f>
        <v>0</v>
      </c>
      <c r="H12" s="8">
        <f>SUBTOTAL(103,September[6])</f>
        <v>0</v>
      </c>
      <c r="I12" s="8">
        <f>SUBTOTAL(103,September[7])</f>
        <v>0</v>
      </c>
      <c r="J12" s="8">
        <f>SUBTOTAL(103,September[8])</f>
        <v>0</v>
      </c>
      <c r="K12" s="8">
        <f>SUBTOTAL(103,September[9])</f>
        <v>0</v>
      </c>
      <c r="L12" s="8">
        <f>SUBTOTAL(103,September[10])</f>
        <v>0</v>
      </c>
      <c r="M12" s="8">
        <f>SUBTOTAL(103,September[11])</f>
        <v>0</v>
      </c>
      <c r="N12" s="8">
        <f>SUBTOTAL(103,September[12])</f>
        <v>0</v>
      </c>
      <c r="O12" s="8">
        <f>SUBTOTAL(103,September[13])</f>
        <v>0</v>
      </c>
      <c r="P12" s="8">
        <f>SUBTOTAL(103,September[14])</f>
        <v>0</v>
      </c>
      <c r="Q12" s="8">
        <f>SUBTOTAL(103,September[15])</f>
        <v>0</v>
      </c>
      <c r="R12" s="8">
        <f>SUBTOTAL(103,September[16])</f>
        <v>0</v>
      </c>
      <c r="S12" s="8">
        <f>SUBTOTAL(103,September[17])</f>
        <v>0</v>
      </c>
      <c r="T12" s="8">
        <f>SUBTOTAL(103,September[18])</f>
        <v>0</v>
      </c>
      <c r="U12" s="8">
        <f>SUBTOTAL(103,September[19])</f>
        <v>0</v>
      </c>
      <c r="V12" s="8">
        <f>SUBTOTAL(103,September[20])</f>
        <v>0</v>
      </c>
      <c r="W12" s="8">
        <f>SUBTOTAL(103,September[21])</f>
        <v>0</v>
      </c>
      <c r="X12" s="8">
        <f>SUBTOTAL(103,September[22])</f>
        <v>0</v>
      </c>
      <c r="Y12" s="8">
        <f>SUBTOTAL(103,September[23])</f>
        <v>0</v>
      </c>
      <c r="Z12" s="8">
        <f>SUBTOTAL(103,September[24])</f>
        <v>0</v>
      </c>
      <c r="AA12" s="8">
        <f>SUBTOTAL(103,September[25])</f>
        <v>0</v>
      </c>
      <c r="AB12" s="8">
        <f>SUBTOTAL(103,September[26])</f>
        <v>0</v>
      </c>
      <c r="AC12" s="8">
        <f>SUBTOTAL(103,September[27])</f>
        <v>0</v>
      </c>
      <c r="AD12" s="8">
        <f>SUBTOTAL(103,September[28])</f>
        <v>0</v>
      </c>
      <c r="AE12" s="8">
        <f>SUBTOTAL(103,September[29])</f>
        <v>0</v>
      </c>
      <c r="AF12" s="8">
        <f>SUBTOTAL(109,September[30])</f>
        <v>0</v>
      </c>
      <c r="AG12" s="8">
        <f>SUBTOTAL(109,September[31])</f>
        <v>0</v>
      </c>
      <c r="AH12" s="8">
        <f>SUBTOTAL(109,September[Totaal aantal dagen])</f>
        <v>0</v>
      </c>
    </row>
  </sheetData>
  <mergeCells count="4">
    <mergeCell ref="C4:AG4"/>
    <mergeCell ref="D2:E2"/>
    <mergeCell ref="G2:J2"/>
    <mergeCell ref="R2:U2"/>
  </mergeCells>
  <conditionalFormatting sqref="C7:AG11">
    <cfRule type="expression" priority="13" stopIfTrue="1">
      <formula>C7=""</formula>
    </cfRule>
  </conditionalFormatting>
  <conditionalFormatting sqref="C7:AG11">
    <cfRule type="expression" dxfId="352" priority="14" stopIfTrue="1">
      <formula>C7=KeyCustom2</formula>
    </cfRule>
    <cfRule type="expression" dxfId="351" priority="15" stopIfTrue="1">
      <formula>C7=KeyCustom1</formula>
    </cfRule>
    <cfRule type="expression" dxfId="350" priority="16" stopIfTrue="1">
      <formula>C7=KeySick</formula>
    </cfRule>
    <cfRule type="expression" dxfId="349" priority="17" stopIfTrue="1">
      <formula>C7=KeyPersonal</formula>
    </cfRule>
    <cfRule type="expression" dxfId="348" priority="18" stopIfTrue="1">
      <formula>C7=KeyVacation</formula>
    </cfRule>
  </conditionalFormatting>
  <conditionalFormatting sqref="AH7:AH11">
    <cfRule type="dataBar" priority="19">
      <dataBar>
        <cfvo type="min"/>
        <cfvo type="formula" val="DATEDIF(DATE(CalendarYear,2,1),DATE(CalendarYear,3,1),&quot;d&quot;)"/>
        <color theme="2" tint="-0.249977111117893"/>
      </dataBar>
      <extLst>
        <ext xmlns:x14="http://schemas.microsoft.com/office/spreadsheetml/2009/9/main" uri="{B025F937-C7B1-47D3-B67F-A62EFF666E3E}">
          <x14:id>{1A021984-06A1-41D9-90D2-8C16E885020B}</x14:id>
        </ext>
      </extLst>
    </cfRule>
  </conditionalFormatting>
  <conditionalFormatting sqref="C2">
    <cfRule type="containsText" dxfId="347" priority="2" operator="containsText" text="V">
      <formula>NOT(ISERROR(SEARCH("V",C2)))</formula>
    </cfRule>
    <cfRule type="containsText" dxfId="346" priority="3" operator="containsText" text="V">
      <formula>NOT(ISERROR(SEARCH("V",C2)))</formula>
    </cfRule>
    <cfRule type="containsText" dxfId="345" priority="9" operator="containsText" text="V">
      <formula>NOT(ISERROR(SEARCH("V",C2)))</formula>
    </cfRule>
    <cfRule type="containsText" dxfId="344" priority="10" operator="containsText" text="V">
      <formula>NOT(ISERROR(SEARCH("V",C2)))</formula>
    </cfRule>
    <cfRule type="containsText" dxfId="343" priority="11" operator="containsText" text="V">
      <formula>NOT(ISERROR(SEARCH("V",C2)))</formula>
    </cfRule>
    <cfRule type="containsText" dxfId="342" priority="12" operator="containsText" text="V">
      <formula>NOT(ISERROR(SEARCH("V",C2)))</formula>
    </cfRule>
  </conditionalFormatting>
  <conditionalFormatting sqref="F2">
    <cfRule type="containsText" dxfId="341" priority="5" operator="containsText" text="e">
      <formula>NOT(ISERROR(SEARCH("e",F2)))</formula>
    </cfRule>
    <cfRule type="cellIs" dxfId="340" priority="6" operator="equal">
      <formula>42767</formula>
    </cfRule>
    <cfRule type="containsText" dxfId="339" priority="7" operator="containsText" text="1/2">
      <formula>NOT(ISERROR(SEARCH("1/2",F2)))</formula>
    </cfRule>
    <cfRule type="containsText" dxfId="338" priority="8" operator="containsText" text="R">
      <formula>NOT(ISERROR(SEARCH("R",F2)))</formula>
    </cfRule>
  </conditionalFormatting>
  <conditionalFormatting sqref="K2">
    <cfRule type="containsText" dxfId="337" priority="1" operator="containsText" text="Z">
      <formula>NOT(ISERROR(SEARCH("Z",K2)))</formula>
    </cfRule>
    <cfRule type="containsText" dxfId="336" priority="4" operator="containsText" text="Z">
      <formula>NOT(ISERROR(SEARCH("Z",K2)))</formula>
    </cfRule>
  </conditionalFormatting>
  <dataValidations count="14">
    <dataValidation allowBlank="1" showInputMessage="1" showErrorMessage="1" prompt="De dagen van de maand in deze rij worden automatisch gegenereerd. Voer de afwezigheid en het type afwezigheid van een werknemer in elke kolom voor elke dag van de maand in. Leeg betekent geen afwezigheid" sqref="C6"/>
    <dataValidation allowBlank="1" showInputMessage="1" showErrorMessage="1" prompt="De naam van de maand van deze afwezigheidsplanning is opgenomen in deze cel. Afwezigheidstotalen voor deze maand zijn opgenomen in de laatste cel van de tabel. Selecteer de werknemersnamen in tabelkolom B" sqref="B4"/>
    <dataValidation allowBlank="1" showInputMessage="1" showErrorMessage="1" prompt="Deze rij definieert de sleutels die worden gebruikt in de tabel: cel C2 is vakantie, G2 is persoonlijk en K2 is ziekteverlof. De cellen N2 en R2 kunnen worden aangepast " sqref="B2"/>
    <dataValidation allowBlank="1" showInputMessage="1" showErrorMessage="1" prompt="Voer links een label om de aangepaste sleutel te beschrijven in" sqref="O2:P2 R2"/>
    <dataValidation allowBlank="1" showInputMessage="1" showErrorMessage="1" prompt="Voer een letter in en pas rechts het label aan om een ander sleutelitem toe te voegen" sqref="N2 Q2"/>
    <dataValidation allowBlank="1" showInputMessage="1" showErrorMessage="1" prompt="De letter &quot;Z&quot; geeft afwezigheid vanwege ziekte aan" sqref="K2"/>
    <dataValidation allowBlank="1" showInputMessage="1" showErrorMessage="1" prompt="De letter &quot;P&quot; geeft afwezigheid vanwege persoonlijke redenen aan" sqref="F2"/>
    <dataValidation allowBlank="1" showInputMessage="1" showErrorMessage="1" prompt="De letter &quot;V&quot; geeft afwezigheid vanwege vakantie aan" sqref="C2"/>
    <dataValidation allowBlank="1" showInputMessage="1" showErrorMessage="1" prompt="De automatisch bijgewerkte titel is in deze cel opgenomen. Als u de titel wilt wijzigen, werk dan B1 in het januari-werkblad bij" sqref="B1"/>
    <dataValidation errorStyle="warning" allowBlank="1" showInputMessage="1" showErrorMessage="1" error="Selecteer een naam in de lijst. Selecteer ANNULEREN, druk dan op ALT+PIJL-OMLAAG en vervolgens op ENTER om een naam te selecteren" prompt="Voer de werknemersnamen in het werkblad met de namen van werknemers in en selecteer vervolgens een van die namen in de lijst in deze kolom. Druk op ALT+PIJL-OMLAAG en vervolgens op ENTER om een naam te selecteren" sqref="B6"/>
    <dataValidation allowBlank="1" showInputMessage="1" showErrorMessage="1" prompt="Houd de afwezigheid in september in dit werkblad bij" sqref="A1"/>
    <dataValidation allowBlank="1" showInputMessage="1" showErrorMessage="1" prompt="Berekent automatisch het totaal aantal dagen die een werknemer in deze maand niet aanwezig was in deze kolom" sqref="AH6"/>
    <dataValidation allowBlank="1" showInputMessage="1" showErrorMessage="1" prompt="Automatisch bijgewerkt jaar op basis van het jaar dat in het werkblad januari is ingevoerd" sqref="AH4"/>
    <dataValidation allowBlank="1" showInputMessage="1" showErrorMessage="1" prompt="Weekdagen in deze rij worden voor de maand automatisch bijgewerkt op basis van het jaar in AH4. Elke dag van de maand is een kolom om de afwezigheid en het type afwezigheid van een werknemer te noteren" sqref="C5"/>
  </dataValidations>
  <printOptions horizontalCentered="1"/>
  <pageMargins left="0.25" right="0.25" top="0.75" bottom="0.75" header="0.3" footer="0.3"/>
  <pageSetup paperSize="9" scale="72"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A021984-06A1-41D9-90D2-8C16E885020B}">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Werknemersnamen!$B$4:$B$8</xm:f>
          </x14:formula1>
          <xm:sqref>B7:B11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13</vt:i4>
      </vt:variant>
      <vt:variant>
        <vt:lpstr>Benoemde bereiken</vt:lpstr>
      </vt:variant>
      <vt:variant>
        <vt:i4>47</vt:i4>
      </vt:variant>
    </vt:vector>
  </HeadingPairs>
  <TitlesOfParts>
    <vt:vector size="60" baseType="lpstr">
      <vt:lpstr>Januari</vt:lpstr>
      <vt:lpstr>Februari</vt:lpstr>
      <vt:lpstr>Maart</vt:lpstr>
      <vt:lpstr>April</vt:lpstr>
      <vt:lpstr>Mei</vt:lpstr>
      <vt:lpstr>Juni</vt:lpstr>
      <vt:lpstr>Juli</vt:lpstr>
      <vt:lpstr>Augustus</vt:lpstr>
      <vt:lpstr>September</vt:lpstr>
      <vt:lpstr>Oktober</vt:lpstr>
      <vt:lpstr>November</vt:lpstr>
      <vt:lpstr>December</vt:lpstr>
      <vt:lpstr>Werknemersnamen</vt:lpstr>
      <vt:lpstr>April!Afdruktitels</vt:lpstr>
      <vt:lpstr>Augustus!Afdruktitels</vt:lpstr>
      <vt:lpstr>December!Afdruktitels</vt:lpstr>
      <vt:lpstr>Februari!Afdruktitels</vt:lpstr>
      <vt:lpstr>Januari!Afdruktitels</vt:lpstr>
      <vt:lpstr>Juli!Afdruktitels</vt:lpstr>
      <vt:lpstr>Juni!Afdruktitels</vt:lpstr>
      <vt:lpstr>Maart!Afdruktitels</vt:lpstr>
      <vt:lpstr>Mei!Afdruktitels</vt:lpstr>
      <vt:lpstr>November!Afdruktitels</vt:lpstr>
      <vt:lpstr>Oktober!Afdruktitels</vt:lpstr>
      <vt:lpstr>September!Afdruktitels</vt:lpstr>
      <vt:lpstr>CalendarYear</vt:lpstr>
      <vt:lpstr>ColumnTitle13</vt:lpstr>
      <vt:lpstr>Employee_Absence_Title</vt:lpstr>
      <vt:lpstr>Key_name</vt:lpstr>
      <vt:lpstr>KeyCustom1</vt:lpstr>
      <vt:lpstr>KeyCustom1Label</vt:lpstr>
      <vt:lpstr>KeyCustom2Label</vt:lpstr>
      <vt:lpstr>KeyPersonalLabel</vt:lpstr>
      <vt:lpstr>KeySick</vt:lpstr>
      <vt:lpstr>KeyVacation</vt:lpstr>
      <vt:lpstr>KeyVacationLabel</vt:lpstr>
      <vt:lpstr>April!MonthName</vt:lpstr>
      <vt:lpstr>Augustus!MonthName</vt:lpstr>
      <vt:lpstr>December!MonthName</vt:lpstr>
      <vt:lpstr>Februari!MonthName</vt:lpstr>
      <vt:lpstr>Januari!MonthName</vt:lpstr>
      <vt:lpstr>Juli!MonthName</vt:lpstr>
      <vt:lpstr>Juni!MonthName</vt:lpstr>
      <vt:lpstr>Maart!MonthName</vt:lpstr>
      <vt:lpstr>Mei!MonthName</vt:lpstr>
      <vt:lpstr>November!MonthName</vt:lpstr>
      <vt:lpstr>Oktober!MonthName</vt:lpstr>
      <vt:lpstr>September!MonthName</vt:lpstr>
      <vt:lpstr>Title1</vt:lpstr>
      <vt:lpstr>Title10</vt:lpstr>
      <vt:lpstr>Title11</vt:lpstr>
      <vt:lpstr>Title12</vt:lpstr>
      <vt:lpstr>Title2</vt:lpstr>
      <vt:lpstr>Title3</vt:lpstr>
      <vt:lpstr>Title4</vt:lpstr>
      <vt:lpstr>Title5</vt:lpstr>
      <vt:lpstr>Title6</vt:lpstr>
      <vt:lpstr>Title7</vt:lpstr>
      <vt:lpstr>Title8</vt:lpstr>
      <vt:lpstr>Title9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Serge Verschoren</dc:creator>
  <cp:lastModifiedBy>Serge Verschoren</cp:lastModifiedBy>
  <dcterms:created xsi:type="dcterms:W3CDTF">2016-12-06T04:52:27Z</dcterms:created>
  <dcterms:modified xsi:type="dcterms:W3CDTF">2017-10-17T07:02:18Z</dcterms:modified>
</cp:coreProperties>
</file>