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828"/>
  <workbookPr codeName="ThisWorkbook"/>
  <mc:AlternateContent xmlns:mc="http://schemas.openxmlformats.org/markup-compatibility/2006">
    <mc:Choice Requires="x15">
      <x15ac:absPath xmlns:x15ac="http://schemas.microsoft.com/office/spreadsheetml/2010/11/ac" url="C:\Users\Geert\Dropbox\exel bestanden forum\"/>
    </mc:Choice>
  </mc:AlternateContent>
  <bookViews>
    <workbookView xWindow="0" yWindow="0" windowWidth="28800" windowHeight="12210" tabRatio="686"/>
  </bookViews>
  <sheets>
    <sheet name="Januari" sheetId="4" r:id="rId1"/>
    <sheet name="Februari" sheetId="5" r:id="rId2"/>
    <sheet name="Maart" sheetId="17" r:id="rId3"/>
    <sheet name="April" sheetId="18" r:id="rId4"/>
    <sheet name="Mei" sheetId="19" r:id="rId5"/>
    <sheet name="Juni" sheetId="20" r:id="rId6"/>
    <sheet name="Juli" sheetId="21" r:id="rId7"/>
    <sheet name="Augustus" sheetId="22" r:id="rId8"/>
    <sheet name="September" sheetId="23" r:id="rId9"/>
    <sheet name="Oktober" sheetId="24" r:id="rId10"/>
    <sheet name="November" sheetId="25" r:id="rId11"/>
    <sheet name="December" sheetId="15" r:id="rId12"/>
    <sheet name="Werknemersnamen" sheetId="16" r:id="rId13"/>
  </sheets>
  <definedNames>
    <definedName name="_xlnm.Print_Titles" localSheetId="3">April!$4:$6</definedName>
    <definedName name="_xlnm.Print_Titles" localSheetId="7">Augustus!$4:$6</definedName>
    <definedName name="_xlnm.Print_Titles" localSheetId="11">December!$4:$6</definedName>
    <definedName name="_xlnm.Print_Titles" localSheetId="1">Februari!$4:$6</definedName>
    <definedName name="_xlnm.Print_Titles" localSheetId="0">Januari!$4:$6</definedName>
    <definedName name="_xlnm.Print_Titles" localSheetId="6">Juli!$4:$6</definedName>
    <definedName name="_xlnm.Print_Titles" localSheetId="5">Juni!$4:$6</definedName>
    <definedName name="_xlnm.Print_Titles" localSheetId="2">Maart!$4:$6</definedName>
    <definedName name="_xlnm.Print_Titles" localSheetId="4">Mei!$4:$6</definedName>
    <definedName name="_xlnm.Print_Titles" localSheetId="10">November!$4:$6</definedName>
    <definedName name="_xlnm.Print_Titles" localSheetId="9">Oktober!$4:$6</definedName>
    <definedName name="_xlnm.Print_Titles" localSheetId="8">September!$4:$6</definedName>
    <definedName name="CalendarYear">Januari!$AH$4</definedName>
    <definedName name="ColumnTitle13">NaamVanWerknemer[[#Headers],[Werknemersnamen]]</definedName>
    <definedName name="Employee_Absence_Title">Januari!$B$1</definedName>
    <definedName name="Key_name">Januari!$B$2</definedName>
    <definedName name="KeyCustom1">Januari!$N$2</definedName>
    <definedName name="KeyCustom1Label">Januari!$O$2</definedName>
    <definedName name="KeyCustom2">Januari!#REF!</definedName>
    <definedName name="KeyCustom2Label">Januari!$R$2</definedName>
    <definedName name="KeyPersonal">Januari!#REF!</definedName>
    <definedName name="KeyPersonalLabel">Januari!$G$2</definedName>
    <definedName name="KeySick">Januari!$K$2</definedName>
    <definedName name="KeySickLabel">Januari!#REF!</definedName>
    <definedName name="KeyVacation">Januari!$C$2</definedName>
    <definedName name="KeyVacationLabel">Januari!$D$2</definedName>
    <definedName name="MonthName" localSheetId="3">April!$B$4</definedName>
    <definedName name="MonthName" localSheetId="7">Augustus!$B$4</definedName>
    <definedName name="MonthName" localSheetId="11">December!$B$4</definedName>
    <definedName name="MonthName" localSheetId="1">Februari!$B$4</definedName>
    <definedName name="MonthName" localSheetId="0">Januari!$B$4</definedName>
    <definedName name="MonthName" localSheetId="6">Juli!$B$4</definedName>
    <definedName name="MonthName" localSheetId="5">Juni!$B$4</definedName>
    <definedName name="MonthName" localSheetId="2">Maart!$B$4</definedName>
    <definedName name="MonthName" localSheetId="4">Mei!$B$4</definedName>
    <definedName name="MonthName" localSheetId="10">November!$B$4</definedName>
    <definedName name="MonthName" localSheetId="9">Oktober!$B$4</definedName>
    <definedName name="MonthName" localSheetId="8">September!$B$4</definedName>
    <definedName name="Title1">Januari[[#Headers],[Naam van werknemer]]</definedName>
    <definedName name="Title10">Oktober[[#Headers],[Naam van werknemer]]</definedName>
    <definedName name="Title11">November[[#Headers],[Naam van werknemer]]</definedName>
    <definedName name="Title12">December[[#Headers],[Naam van werknemer]]</definedName>
    <definedName name="Title2">Februari[[#Headers],[Naam van werknemer]]</definedName>
    <definedName name="Title3">Maart[[#Headers],[Naam van werknemer]]</definedName>
    <definedName name="Title4">April[[#Headers],[Naam van werknemer]]</definedName>
    <definedName name="Title5">Mei[[#Headers],[Naam van werknemer]]</definedName>
    <definedName name="Title6">Juni[[#Headers],[Naam van werknemer]]</definedName>
    <definedName name="Title7">Juli[[#Headers],[Naam van werknemer]]</definedName>
    <definedName name="Title8">Augustus[[#Headers],[Naam van werknemer]]</definedName>
    <definedName name="Title9">September[[#Headers],[Naam van werknemer]]</definedName>
  </definedNames>
  <calcPr calcId="162913"/>
</workbook>
</file>

<file path=xl/calcChain.xml><?xml version="1.0" encoding="utf-8"?>
<calcChain xmlns="http://schemas.openxmlformats.org/spreadsheetml/2006/main">
  <c r="C5" i="4" l="1"/>
  <c r="D5" i="4" s="1"/>
  <c r="E5" i="4" s="1"/>
  <c r="F5" i="4" s="1"/>
  <c r="G5" i="4" s="1"/>
  <c r="H5" i="4" s="1"/>
  <c r="I5" i="4" s="1"/>
  <c r="J5" i="4" s="1"/>
  <c r="K5" i="4" s="1"/>
  <c r="L5" i="4" s="1"/>
  <c r="M5" i="4" s="1"/>
  <c r="N5" i="4" s="1"/>
  <c r="O5" i="4" s="1"/>
  <c r="P5" i="4" s="1"/>
  <c r="Q5" i="4" s="1"/>
  <c r="R5" i="4" s="1"/>
  <c r="S5" i="4" s="1"/>
  <c r="T5" i="4" s="1"/>
  <c r="U5" i="4" s="1"/>
  <c r="V5" i="4" s="1"/>
  <c r="W5" i="4" s="1"/>
  <c r="X5" i="4" s="1"/>
  <c r="Y5" i="4" s="1"/>
  <c r="Z5" i="4" s="1"/>
  <c r="AA5" i="4" s="1"/>
  <c r="AB5" i="4" s="1"/>
  <c r="AC5" i="4" s="1"/>
  <c r="AD5" i="4" s="1"/>
  <c r="AE5" i="4" s="1"/>
  <c r="AF5" i="4" s="1"/>
  <c r="AG5" i="4" s="1"/>
  <c r="AH7" i="4" l="1"/>
  <c r="AH8" i="4"/>
  <c r="AH9" i="4"/>
  <c r="AH10" i="4"/>
  <c r="AH11" i="4"/>
  <c r="AI11" i="4" l="1"/>
  <c r="AI9" i="4"/>
  <c r="AI8" i="4"/>
  <c r="AI7" i="4"/>
  <c r="AI10" i="4"/>
  <c r="B12" i="15" l="1"/>
  <c r="B12" i="25"/>
  <c r="B12" i="24"/>
  <c r="B12" i="23"/>
  <c r="B12" i="22"/>
  <c r="B12" i="21"/>
  <c r="B12" i="20"/>
  <c r="B12" i="19"/>
  <c r="B12" i="18"/>
  <c r="B12" i="17"/>
  <c r="AH8" i="24" l="1"/>
  <c r="AH9" i="24"/>
  <c r="AH10" i="24"/>
  <c r="AH11" i="24"/>
  <c r="AH7" i="24"/>
  <c r="AH8" i="22"/>
  <c r="AH9" i="22"/>
  <c r="AH10" i="22"/>
  <c r="AH11" i="22"/>
  <c r="AH7" i="22"/>
  <c r="AH8" i="21"/>
  <c r="AH9" i="21"/>
  <c r="AH10" i="21"/>
  <c r="AH11" i="21"/>
  <c r="AH7" i="21"/>
  <c r="AH8" i="20"/>
  <c r="AH9" i="20"/>
  <c r="AH10" i="20"/>
  <c r="AH11" i="20"/>
  <c r="AH7" i="20"/>
  <c r="AH8" i="19"/>
  <c r="AH9" i="19"/>
  <c r="AH10" i="19"/>
  <c r="AH11" i="19"/>
  <c r="AH7" i="19"/>
  <c r="AH8" i="17"/>
  <c r="AH9" i="17"/>
  <c r="AH10" i="17"/>
  <c r="AH11" i="17"/>
  <c r="AH7" i="17"/>
  <c r="AH8" i="5"/>
  <c r="AH9" i="5"/>
  <c r="AH10" i="5"/>
  <c r="AH11" i="5"/>
  <c r="AH7" i="5"/>
  <c r="AF5" i="25" l="1"/>
  <c r="AE5" i="25"/>
  <c r="AD5" i="25"/>
  <c r="AC5" i="25"/>
  <c r="AB5" i="25"/>
  <c r="AA5" i="25"/>
  <c r="Z5" i="25"/>
  <c r="Y5" i="25"/>
  <c r="X5" i="25"/>
  <c r="W5" i="25"/>
  <c r="V5" i="25"/>
  <c r="U5" i="25"/>
  <c r="T5" i="25"/>
  <c r="S5" i="25"/>
  <c r="R5" i="25"/>
  <c r="Q5" i="25"/>
  <c r="P5" i="25"/>
  <c r="O5" i="25"/>
  <c r="N5" i="25"/>
  <c r="M5" i="25"/>
  <c r="L5" i="25"/>
  <c r="K5" i="25"/>
  <c r="J5" i="25"/>
  <c r="I5" i="25"/>
  <c r="H5" i="25"/>
  <c r="G5" i="25"/>
  <c r="F5" i="25"/>
  <c r="E5" i="25"/>
  <c r="D5" i="25"/>
  <c r="C5" i="25"/>
  <c r="AG12" i="25"/>
  <c r="AF12" i="25"/>
  <c r="AE12" i="25"/>
  <c r="AD12"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D12" i="25"/>
  <c r="C12" i="25"/>
  <c r="AH11" i="25"/>
  <c r="AH10" i="25"/>
  <c r="AH9" i="25"/>
  <c r="AH8" i="25"/>
  <c r="AH7" i="25"/>
  <c r="AH4" i="25"/>
  <c r="B1" i="25"/>
  <c r="AG5" i="24"/>
  <c r="AF5" i="24"/>
  <c r="AE5" i="24"/>
  <c r="AD5" i="24"/>
  <c r="AC5" i="24"/>
  <c r="AB5" i="24"/>
  <c r="AA5" i="24"/>
  <c r="Z5" i="24"/>
  <c r="Y5" i="24"/>
  <c r="X5" i="24"/>
  <c r="W5" i="24"/>
  <c r="V5" i="24"/>
  <c r="U5" i="24"/>
  <c r="T5" i="24"/>
  <c r="S5" i="24"/>
  <c r="R5" i="24"/>
  <c r="Q5" i="24"/>
  <c r="P5" i="24"/>
  <c r="O5" i="24"/>
  <c r="N5" i="24"/>
  <c r="M5" i="24"/>
  <c r="L5" i="24"/>
  <c r="K5" i="24"/>
  <c r="J5" i="24"/>
  <c r="I5" i="24"/>
  <c r="H5" i="24"/>
  <c r="G5" i="24"/>
  <c r="F5" i="24"/>
  <c r="E5" i="24"/>
  <c r="D5" i="24"/>
  <c r="C5" i="24"/>
  <c r="AG12" i="24"/>
  <c r="AF12" i="24"/>
  <c r="AE12" i="24"/>
  <c r="AD12" i="24"/>
  <c r="AC12" i="24"/>
  <c r="AB12" i="24"/>
  <c r="AA12" i="24"/>
  <c r="Z12" i="24"/>
  <c r="Y12" i="24"/>
  <c r="X12" i="24"/>
  <c r="W12" i="24"/>
  <c r="V12" i="24"/>
  <c r="U12" i="24"/>
  <c r="T12" i="24"/>
  <c r="S12" i="24"/>
  <c r="R12" i="24"/>
  <c r="Q12" i="24"/>
  <c r="P12" i="24"/>
  <c r="O12" i="24"/>
  <c r="N12" i="24"/>
  <c r="M12" i="24"/>
  <c r="L12" i="24"/>
  <c r="K12" i="24"/>
  <c r="J12" i="24"/>
  <c r="I12" i="24"/>
  <c r="H12" i="24"/>
  <c r="G12" i="24"/>
  <c r="F12" i="24"/>
  <c r="E12" i="24"/>
  <c r="D12" i="24"/>
  <c r="C12" i="24"/>
  <c r="AH4" i="24"/>
  <c r="B1" i="24"/>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C12" i="23"/>
  <c r="AH11" i="23"/>
  <c r="AH10" i="23"/>
  <c r="AH9" i="23"/>
  <c r="AH8" i="23"/>
  <c r="AH7" i="23"/>
  <c r="AH4" i="23"/>
  <c r="B1" i="23"/>
  <c r="AG5" i="22"/>
  <c r="AF5" i="22"/>
  <c r="AE5" i="22"/>
  <c r="AD5" i="22"/>
  <c r="AC5" i="22"/>
  <c r="AB5" i="22"/>
  <c r="AA5" i="22"/>
  <c r="Z5" i="22"/>
  <c r="Y5" i="22"/>
  <c r="X5" i="22"/>
  <c r="W5" i="22"/>
  <c r="V5" i="22"/>
  <c r="U5" i="22"/>
  <c r="T5" i="22"/>
  <c r="S5" i="22"/>
  <c r="R5" i="22"/>
  <c r="Q5" i="22"/>
  <c r="P5" i="22"/>
  <c r="O5" i="22"/>
  <c r="N5" i="22"/>
  <c r="M5" i="22"/>
  <c r="L5" i="22"/>
  <c r="K5" i="22"/>
  <c r="J5" i="22"/>
  <c r="I5" i="22"/>
  <c r="H5" i="22"/>
  <c r="G5" i="22"/>
  <c r="F5" i="22"/>
  <c r="E5" i="22"/>
  <c r="D5" i="22"/>
  <c r="C5" i="22"/>
  <c r="AG12" i="22"/>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E12" i="22"/>
  <c r="D12" i="22"/>
  <c r="C12" i="22"/>
  <c r="AH4" i="22"/>
  <c r="B1" i="22"/>
  <c r="AG5" i="21"/>
  <c r="AF5" i="21"/>
  <c r="AE5" i="21"/>
  <c r="AD5" i="21"/>
  <c r="AC5" i="21"/>
  <c r="AB5" i="21"/>
  <c r="AA5" i="21"/>
  <c r="Z5" i="21"/>
  <c r="Y5" i="21"/>
  <c r="X5" i="21"/>
  <c r="W5" i="21"/>
  <c r="V5" i="21"/>
  <c r="U5" i="21"/>
  <c r="T5" i="21"/>
  <c r="S5" i="21"/>
  <c r="R5" i="21"/>
  <c r="Q5" i="21"/>
  <c r="P5" i="21"/>
  <c r="O5" i="21"/>
  <c r="N5" i="21"/>
  <c r="M5" i="21"/>
  <c r="L5" i="21"/>
  <c r="K5" i="21"/>
  <c r="J5" i="21"/>
  <c r="I5" i="21"/>
  <c r="H5" i="21"/>
  <c r="G5" i="21"/>
  <c r="F5" i="21"/>
  <c r="E5" i="21"/>
  <c r="D5" i="21"/>
  <c r="C5" i="21"/>
  <c r="AG12" i="21"/>
  <c r="AF12" i="21"/>
  <c r="AE12" i="21"/>
  <c r="AD12" i="21"/>
  <c r="AC12" i="21"/>
  <c r="AB12" i="21"/>
  <c r="AA12" i="21"/>
  <c r="Z12" i="21"/>
  <c r="Y12" i="21"/>
  <c r="X12" i="21"/>
  <c r="W12" i="21"/>
  <c r="V12" i="21"/>
  <c r="U12" i="21"/>
  <c r="T12" i="21"/>
  <c r="S12" i="21"/>
  <c r="R12" i="21"/>
  <c r="Q12" i="21"/>
  <c r="P12" i="21"/>
  <c r="O12" i="21"/>
  <c r="N12" i="21"/>
  <c r="M12" i="21"/>
  <c r="L12" i="21"/>
  <c r="K12" i="21"/>
  <c r="J12" i="21"/>
  <c r="I12" i="21"/>
  <c r="H12" i="21"/>
  <c r="G12" i="21"/>
  <c r="F12" i="21"/>
  <c r="E12" i="21"/>
  <c r="D12" i="21"/>
  <c r="C12" i="21"/>
  <c r="AH12" i="21"/>
  <c r="AH4" i="21"/>
  <c r="B1" i="21"/>
  <c r="AF5" i="20"/>
  <c r="AE5" i="20"/>
  <c r="AD5" i="20"/>
  <c r="AC5" i="20"/>
  <c r="AB5" i="20"/>
  <c r="AA5" i="20"/>
  <c r="Z5" i="20"/>
  <c r="Y5" i="20"/>
  <c r="X5" i="20"/>
  <c r="W5" i="20"/>
  <c r="V5" i="20"/>
  <c r="U5" i="20"/>
  <c r="T5" i="20"/>
  <c r="S5" i="20"/>
  <c r="R5" i="20"/>
  <c r="Q5" i="20"/>
  <c r="P5" i="20"/>
  <c r="O5" i="20"/>
  <c r="N5" i="20"/>
  <c r="M5" i="20"/>
  <c r="L5" i="20"/>
  <c r="K5" i="20"/>
  <c r="J5" i="20"/>
  <c r="I5" i="20"/>
  <c r="H5" i="20"/>
  <c r="G5" i="20"/>
  <c r="F5" i="20"/>
  <c r="E5" i="20"/>
  <c r="D5" i="20"/>
  <c r="C5" i="20"/>
  <c r="AG12" i="20"/>
  <c r="AF12" i="20"/>
  <c r="AE12" i="20"/>
  <c r="AD12" i="20"/>
  <c r="AC12" i="20"/>
  <c r="AB12" i="20"/>
  <c r="AA12" i="20"/>
  <c r="Z12" i="20"/>
  <c r="Y12" i="20"/>
  <c r="X12" i="20"/>
  <c r="W12" i="20"/>
  <c r="V12" i="20"/>
  <c r="U12" i="20"/>
  <c r="T12" i="20"/>
  <c r="S12" i="20"/>
  <c r="R12" i="20"/>
  <c r="Q12" i="20"/>
  <c r="P12" i="20"/>
  <c r="O12" i="20"/>
  <c r="N12" i="20"/>
  <c r="M12" i="20"/>
  <c r="L12" i="20"/>
  <c r="K12" i="20"/>
  <c r="J12" i="20"/>
  <c r="I12" i="20"/>
  <c r="H12" i="20"/>
  <c r="G12" i="20"/>
  <c r="F12" i="20"/>
  <c r="E12" i="20"/>
  <c r="D12" i="20"/>
  <c r="C12" i="20"/>
  <c r="AH4" i="20"/>
  <c r="B1" i="20"/>
  <c r="AG5" i="19"/>
  <c r="AF5" i="19"/>
  <c r="AE5" i="19"/>
  <c r="AD5" i="19"/>
  <c r="AC5" i="19"/>
  <c r="AB5" i="19"/>
  <c r="AA5" i="19"/>
  <c r="Z5" i="19"/>
  <c r="Y5" i="19"/>
  <c r="X5" i="19"/>
  <c r="W5" i="19"/>
  <c r="V5" i="19"/>
  <c r="U5" i="19"/>
  <c r="T5" i="19"/>
  <c r="S5" i="19"/>
  <c r="R5" i="19"/>
  <c r="Q5" i="19"/>
  <c r="P5" i="19"/>
  <c r="O5" i="19"/>
  <c r="N5" i="19"/>
  <c r="M5" i="19"/>
  <c r="L5" i="19"/>
  <c r="K5" i="19"/>
  <c r="J5" i="19"/>
  <c r="I5" i="19"/>
  <c r="H5" i="19"/>
  <c r="G5" i="19"/>
  <c r="F5" i="19"/>
  <c r="E5" i="19"/>
  <c r="D5" i="19"/>
  <c r="C5" i="19"/>
  <c r="AG12" i="19"/>
  <c r="AF12" i="19"/>
  <c r="AE12"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AH4" i="19"/>
  <c r="B1" i="19"/>
  <c r="AF5" i="18"/>
  <c r="AE5" i="18"/>
  <c r="AD5" i="18"/>
  <c r="AC5" i="18"/>
  <c r="AB5" i="18"/>
  <c r="AA5" i="18"/>
  <c r="Z5" i="18"/>
  <c r="Y5" i="18"/>
  <c r="X5" i="18"/>
  <c r="W5" i="18"/>
  <c r="V5" i="18"/>
  <c r="U5" i="18"/>
  <c r="T5" i="18"/>
  <c r="S5" i="18"/>
  <c r="R5" i="18"/>
  <c r="Q5" i="18"/>
  <c r="P5" i="18"/>
  <c r="O5" i="18"/>
  <c r="N5" i="18"/>
  <c r="M5" i="18"/>
  <c r="L5" i="18"/>
  <c r="K5" i="18"/>
  <c r="J5" i="18"/>
  <c r="I5" i="18"/>
  <c r="H5" i="18"/>
  <c r="G5" i="18"/>
  <c r="F5" i="18"/>
  <c r="E5" i="18"/>
  <c r="D5" i="18"/>
  <c r="C5" i="18"/>
  <c r="AG12"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C12" i="18"/>
  <c r="AH11" i="18"/>
  <c r="AH10" i="18"/>
  <c r="AH9" i="18"/>
  <c r="AH8" i="18"/>
  <c r="AH7" i="18"/>
  <c r="AH4" i="18"/>
  <c r="B1" i="18"/>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C5" i="17"/>
  <c r="AG12" i="17"/>
  <c r="AF12" i="17"/>
  <c r="AE12" i="17"/>
  <c r="AD12" i="17"/>
  <c r="AC12" i="17"/>
  <c r="AB12" i="17"/>
  <c r="AA12" i="17"/>
  <c r="Z12" i="17"/>
  <c r="Y12" i="17"/>
  <c r="X12" i="17"/>
  <c r="W12" i="17"/>
  <c r="V12" i="17"/>
  <c r="U12" i="17"/>
  <c r="T12" i="17"/>
  <c r="S12" i="17"/>
  <c r="R12" i="17"/>
  <c r="Q12" i="17"/>
  <c r="P12" i="17"/>
  <c r="O12" i="17"/>
  <c r="N12" i="17"/>
  <c r="M12" i="17"/>
  <c r="L12" i="17"/>
  <c r="K12" i="17"/>
  <c r="J12" i="17"/>
  <c r="I12" i="17"/>
  <c r="H12" i="17"/>
  <c r="G12" i="17"/>
  <c r="F12" i="17"/>
  <c r="E12" i="17"/>
  <c r="D12" i="17"/>
  <c r="C12" i="17"/>
  <c r="AH12" i="17"/>
  <c r="AH4" i="17"/>
  <c r="B1" i="17"/>
  <c r="B1" i="15"/>
  <c r="B1" i="5"/>
  <c r="AH12" i="23" l="1"/>
  <c r="AH12" i="18"/>
  <c r="AH12" i="22"/>
  <c r="AH12" i="25"/>
  <c r="AH12" i="20"/>
  <c r="AH12" i="19"/>
  <c r="AH12" i="24"/>
  <c r="AB5" i="5"/>
  <c r="AH4" i="5" l="1"/>
  <c r="AH4" i="15" l="1"/>
  <c r="AG12" i="15" l="1"/>
  <c r="AF12" i="15"/>
  <c r="AH7" i="15"/>
  <c r="AH8" i="15"/>
  <c r="AH9" i="15"/>
  <c r="AH10" i="15"/>
  <c r="AH11" i="15"/>
  <c r="AH12" i="15" l="1"/>
  <c r="C12" i="15"/>
  <c r="D12" i="15"/>
  <c r="E12" i="15"/>
  <c r="F12" i="15"/>
  <c r="G12" i="15"/>
  <c r="H12" i="15"/>
  <c r="I12" i="15"/>
  <c r="J12" i="15"/>
  <c r="K12" i="15"/>
  <c r="L12" i="15"/>
  <c r="M12" i="15"/>
  <c r="N12" i="15"/>
  <c r="O12" i="15"/>
  <c r="P12" i="15"/>
  <c r="Q12" i="15"/>
  <c r="R12" i="15"/>
  <c r="S12" i="15"/>
  <c r="T12" i="15"/>
  <c r="U12" i="15"/>
  <c r="V12" i="15"/>
  <c r="W12" i="15"/>
  <c r="X12" i="15"/>
  <c r="Y12" i="15"/>
  <c r="Z12" i="15"/>
  <c r="AA12" i="15"/>
  <c r="AB12" i="15"/>
  <c r="AC12" i="15"/>
  <c r="AD12" i="15"/>
  <c r="AE12" i="15"/>
  <c r="AG5" i="15" l="1"/>
  <c r="AF5" i="15"/>
  <c r="AE5" i="15"/>
  <c r="AD5" i="15"/>
  <c r="AC5" i="15"/>
  <c r="AB5" i="15"/>
  <c r="AA5" i="15"/>
  <c r="Z5" i="15"/>
  <c r="Y5" i="15"/>
  <c r="X5" i="15"/>
  <c r="W5" i="15"/>
  <c r="V5" i="15"/>
  <c r="U5" i="15"/>
  <c r="T5" i="15"/>
  <c r="S5" i="15"/>
  <c r="R5" i="15"/>
  <c r="Q5" i="15"/>
  <c r="P5" i="15"/>
  <c r="O5" i="15"/>
  <c r="N5" i="15"/>
  <c r="M5" i="15"/>
  <c r="L5" i="15"/>
  <c r="K5" i="15"/>
  <c r="J5" i="15"/>
  <c r="I5" i="15"/>
  <c r="H5" i="15"/>
  <c r="G5" i="15"/>
  <c r="F5" i="15"/>
  <c r="E5" i="15"/>
  <c r="D5" i="15"/>
  <c r="C5" i="15"/>
  <c r="AE5" i="5" l="1"/>
  <c r="AD5" i="5"/>
  <c r="AC5" i="5"/>
  <c r="AA5" i="5"/>
  <c r="Z5" i="5"/>
  <c r="Y5" i="5"/>
  <c r="X5" i="5"/>
  <c r="W5" i="5"/>
  <c r="V5" i="5"/>
  <c r="U5" i="5"/>
  <c r="T5" i="5"/>
  <c r="S5" i="5"/>
  <c r="R5" i="5"/>
  <c r="Q5" i="5"/>
  <c r="P5" i="5"/>
  <c r="O5" i="5"/>
  <c r="N5" i="5"/>
  <c r="M5" i="5"/>
  <c r="L5" i="5"/>
  <c r="K5" i="5"/>
  <c r="J5" i="5"/>
  <c r="I5" i="5"/>
  <c r="H5" i="5"/>
  <c r="G5" i="5"/>
  <c r="F5" i="5"/>
  <c r="E5" i="5"/>
  <c r="D5" i="5"/>
  <c r="C5" i="5"/>
</calcChain>
</file>

<file path=xl/sharedStrings.xml><?xml version="1.0" encoding="utf-8"?>
<sst xmlns="http://schemas.openxmlformats.org/spreadsheetml/2006/main" count="619" uniqueCount="71">
  <si>
    <t>Werknemersafwezigheidsplanning</t>
  </si>
  <si>
    <t>Januari</t>
  </si>
  <si>
    <t>Naam van werknemer</t>
  </si>
  <si>
    <t>V</t>
  </si>
  <si>
    <t>Afwezigheidsdatums</t>
  </si>
  <si>
    <t>1</t>
  </si>
  <si>
    <t>2</t>
  </si>
  <si>
    <t>3</t>
  </si>
  <si>
    <t>4</t>
  </si>
  <si>
    <t>Z</t>
  </si>
  <si>
    <t>5</t>
  </si>
  <si>
    <t>6</t>
  </si>
  <si>
    <t>7</t>
  </si>
  <si>
    <t>8</t>
  </si>
  <si>
    <t>9</t>
  </si>
  <si>
    <t>Ziek</t>
  </si>
  <si>
    <t>10</t>
  </si>
  <si>
    <t>11</t>
  </si>
  <si>
    <t>12</t>
  </si>
  <si>
    <t>13</t>
  </si>
  <si>
    <t>14</t>
  </si>
  <si>
    <t>15</t>
  </si>
  <si>
    <t>16</t>
  </si>
  <si>
    <t>17</t>
  </si>
  <si>
    <t>18</t>
  </si>
  <si>
    <t>19</t>
  </si>
  <si>
    <t>20</t>
  </si>
  <si>
    <t>21</t>
  </si>
  <si>
    <t>22</t>
  </si>
  <si>
    <t>23</t>
  </si>
  <si>
    <t>24</t>
  </si>
  <si>
    <t>25</t>
  </si>
  <si>
    <t>26</t>
  </si>
  <si>
    <t>27</t>
  </si>
  <si>
    <t>28</t>
  </si>
  <si>
    <t>29</t>
  </si>
  <si>
    <t>30</t>
  </si>
  <si>
    <t>31</t>
  </si>
  <si>
    <t>Voer het jaar in:</t>
  </si>
  <si>
    <t>Totaal aantal dagen</t>
  </si>
  <si>
    <t>Februari</t>
  </si>
  <si>
    <t xml:space="preserve"> </t>
  </si>
  <si>
    <t xml:space="preserve">  </t>
  </si>
  <si>
    <t>Maart</t>
  </si>
  <si>
    <t>April</t>
  </si>
  <si>
    <t>Juni</t>
  </si>
  <si>
    <t>Juli</t>
  </si>
  <si>
    <t>Augustus</t>
  </si>
  <si>
    <t>Oktober</t>
  </si>
  <si>
    <t>November</t>
  </si>
  <si>
    <t>December</t>
  </si>
  <si>
    <t>Werknemersnamen</t>
  </si>
  <si>
    <t>Mei</t>
  </si>
  <si>
    <t>September</t>
  </si>
  <si>
    <t>Werknemer 1</t>
  </si>
  <si>
    <t>Werknemer 2</t>
  </si>
  <si>
    <t>Werknemer 3</t>
  </si>
  <si>
    <t>Werknemer 4</t>
  </si>
  <si>
    <t>Werknemer 5</t>
  </si>
  <si>
    <t>1/2</t>
  </si>
  <si>
    <t>Halve dag verlof</t>
  </si>
  <si>
    <t>Verlof</t>
  </si>
  <si>
    <t>R</t>
  </si>
  <si>
    <t>Recup</t>
  </si>
  <si>
    <t>Van wacht</t>
  </si>
  <si>
    <t>W</t>
  </si>
  <si>
    <t>Totaal aantal</t>
  </si>
  <si>
    <t xml:space="preserve">Aantal dagen </t>
  </si>
  <si>
    <t>ziek</t>
  </si>
  <si>
    <t>dagen verlof</t>
  </si>
  <si>
    <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</si>
</sst>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7" formatCode="ddd"/>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b/>
      <sz val="26"/>
      <color theme="3" tint="-0.24994659260841701"/>
      <name val="Calibri"/>
      <family val="2"/>
      <scheme val="major"/>
    </font>
    <font>
      <b/>
      <sz val="18"/>
      <color theme="4" tint="-0.24994659260841701"/>
      <name val="Calibri"/>
      <family val="2"/>
      <scheme val="minor"/>
    </font>
    <font>
      <b/>
      <sz val="26"/>
      <color theme="3"/>
      <name val="Calibri"/>
      <family val="2"/>
      <scheme val="minor"/>
    </font>
    <font>
      <sz val="11"/>
      <color theme="4" tint="-0.499984740745262"/>
      <name val="Calibri"/>
      <family val="2"/>
      <scheme val="minor"/>
    </font>
    <font>
      <sz val="9"/>
      <color theme="1"/>
      <name val="Calibri"/>
      <family val="2"/>
      <scheme val="minor"/>
    </font>
    <font>
      <b/>
      <sz val="11"/>
      <color rgb="FFFFFF00"/>
      <name val="Calibri"/>
      <family val="2"/>
      <scheme val="minor"/>
    </font>
    <font>
      <b/>
      <sz val="11"/>
      <name val="Calibri"/>
      <family val="2"/>
      <scheme val="minor"/>
    </font>
    <font>
      <b/>
      <sz val="12"/>
      <color theme="1"/>
      <name val="Calibri"/>
      <family val="2"/>
      <scheme val="minor"/>
    </font>
    <font>
      <b/>
      <sz val="12"/>
      <name val="Calibri"/>
      <family val="2"/>
      <scheme val="minor"/>
    </font>
    <font>
      <b/>
      <sz val="14"/>
      <name val="Calibri"/>
      <family val="2"/>
      <scheme val="minor"/>
    </font>
    <font>
      <b/>
      <sz val="14"/>
      <color theme="1"/>
      <name val="Calibri"/>
      <family val="2"/>
      <scheme val="minor"/>
    </font>
    <font>
      <sz val="14"/>
      <color theme="1"/>
      <name val="Calibri"/>
      <family val="2"/>
      <scheme val="minor"/>
    </font>
  </fonts>
  <fills count="28">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tint="0.79998168889431442"/>
        <bgColor indexed="65"/>
      </patternFill>
    </fill>
    <fill>
      <patternFill patternType="solid">
        <fgColor theme="7" tint="0.39997558519241921"/>
        <bgColor indexed="65"/>
      </patternFill>
    </fill>
    <fill>
      <patternFill patternType="solid">
        <fgColor theme="3" tint="0.79998168889431442"/>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7" tint="0.59996337778862885"/>
        <bgColor indexed="64"/>
      </patternFill>
    </fill>
    <fill>
      <patternFill patternType="solid">
        <fgColor theme="5" tint="0.59999389629810485"/>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8" tint="0.59999389629810485"/>
        <bgColor indexed="65"/>
      </patternFill>
    </fill>
    <fill>
      <patternFill patternType="solid">
        <fgColor theme="4" tint="0.39994506668294322"/>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rgb="FFF8E3E0"/>
        <bgColor indexed="64"/>
      </patternFill>
    </fill>
    <fill>
      <patternFill patternType="solid">
        <fgColor theme="5" tint="0.39994506668294322"/>
        <bgColor indexed="64"/>
      </patternFill>
    </fill>
    <fill>
      <patternFill patternType="solid">
        <fgColor theme="6" tint="0.59996337778862885"/>
        <bgColor indexed="64"/>
      </patternFill>
    </fill>
    <fill>
      <patternFill patternType="solid">
        <fgColor theme="6" tint="0.7999816888943144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7" tint="0.79998168889431442"/>
        <bgColor indexed="64"/>
      </patternFill>
    </fill>
  </fills>
  <borders count="8">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s>
  <cellStyleXfs count="28">
    <xf numFmtId="0" fontId="0" fillId="0" borderId="0">
      <alignment horizontal="left" vertical="center"/>
    </xf>
    <xf numFmtId="0" fontId="7" fillId="0" borderId="0" applyNumberFormat="0" applyFill="0" applyBorder="0" applyProtection="0">
      <alignment vertical="top"/>
    </xf>
    <xf numFmtId="0" fontId="5" fillId="0" borderId="0" applyNumberFormat="0" applyFill="0" applyBorder="0" applyProtection="0">
      <alignment vertical="top"/>
    </xf>
    <xf numFmtId="0" fontId="6" fillId="2" borderId="0" applyNumberFormat="0" applyBorder="0" applyProtection="0">
      <alignment horizontal="center" vertical="center"/>
    </xf>
    <xf numFmtId="0" fontId="2" fillId="20" borderId="0" applyNumberFormat="0" applyProtection="0">
      <alignment horizontal="right" vertical="center" indent="1"/>
    </xf>
    <xf numFmtId="0" fontId="3" fillId="0" borderId="0" applyNumberFormat="0" applyFill="0" applyBorder="0" applyProtection="0">
      <alignment horizontal="left" vertical="center" indent="2"/>
    </xf>
    <xf numFmtId="0" fontId="4" fillId="3" borderId="0" applyNumberFormat="0" applyBorder="0" applyAlignment="0" applyProtection="0"/>
    <xf numFmtId="0" fontId="1" fillId="4" borderId="0" applyNumberFormat="0" applyBorder="0" applyProtection="0">
      <alignment horizontal="center" vertical="center"/>
    </xf>
    <xf numFmtId="0" fontId="2" fillId="9" borderId="0" applyNumberFormat="0" applyBorder="0" applyAlignment="0" applyProtection="0"/>
    <xf numFmtId="0" fontId="1" fillId="5" borderId="0" applyNumberFormat="0" applyBorder="0" applyAlignment="0" applyProtection="0"/>
    <xf numFmtId="0" fontId="4" fillId="7" borderId="0" applyNumberFormat="0" applyBorder="0" applyAlignment="0" applyProtection="0"/>
    <xf numFmtId="0" fontId="1" fillId="6" borderId="0" applyNumberFormat="0" applyBorder="0" applyAlignment="0" applyProtection="0"/>
    <xf numFmtId="0" fontId="2" fillId="15" borderId="0" applyNumberFormat="0" applyBorder="0" applyAlignment="0" applyProtection="0"/>
    <xf numFmtId="0" fontId="1" fillId="8" borderId="0" applyNumberFormat="0" applyBorder="0" applyAlignment="0" applyProtection="0"/>
    <xf numFmtId="0" fontId="4" fillId="15" borderId="0" applyNumberFormat="0" applyBorder="0" applyAlignment="0" applyProtection="0"/>
    <xf numFmtId="0" fontId="1" fillId="18" borderId="0" applyNumberFormat="0" applyBorder="0" applyAlignment="0" applyProtection="0"/>
    <xf numFmtId="0" fontId="2" fillId="17"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2" fillId="10" borderId="0" applyNumberFormat="0" applyBorder="0" applyAlignment="0" applyProtection="0"/>
    <xf numFmtId="0" fontId="4" fillId="11" borderId="0" applyNumberFormat="0" applyBorder="0" applyAlignment="0" applyProtection="0"/>
    <xf numFmtId="0" fontId="1" fillId="2" borderId="0" applyNumberFormat="0" applyBorder="0" applyAlignment="0" applyProtection="0"/>
    <xf numFmtId="0" fontId="2" fillId="12" borderId="0" applyNumberFormat="0" applyBorder="0" applyProtection="0">
      <alignment horizontal="left" vertical="center" indent="1"/>
    </xf>
    <xf numFmtId="0" fontId="2" fillId="13" borderId="0" applyNumberFormat="0" applyBorder="0" applyAlignment="0" applyProtection="0"/>
    <xf numFmtId="0" fontId="2" fillId="14" borderId="0" applyNumberFormat="0" applyBorder="0" applyAlignment="0" applyProtection="0"/>
    <xf numFmtId="1" fontId="1" fillId="0" borderId="0" applyFill="0" applyBorder="0" applyProtection="0">
      <alignment horizontal="center" vertical="center"/>
    </xf>
    <xf numFmtId="0" fontId="1" fillId="0" borderId="0" applyNumberFormat="0" applyFill="0" applyBorder="0">
      <alignment horizontal="left" vertical="center" wrapText="1" indent="2"/>
    </xf>
    <xf numFmtId="0" fontId="8" fillId="0" borderId="0">
      <alignment horizontal="center"/>
    </xf>
  </cellStyleXfs>
  <cellXfs count="58">
    <xf numFmtId="0" fontId="0" fillId="0" borderId="0" xfId="0">
      <alignment horizontal="left" vertical="center"/>
    </xf>
    <xf numFmtId="0" fontId="0" fillId="0" borderId="0" xfId="0" applyAlignment="1" applyProtection="1">
      <alignment horizontal="center" vertical="center"/>
    </xf>
    <xf numFmtId="0" fontId="0" fillId="0" borderId="0" xfId="0" applyFont="1" applyFill="1" applyBorder="1" applyAlignment="1" applyProtection="1">
      <alignment horizontal="center" vertical="center"/>
    </xf>
    <xf numFmtId="0" fontId="2" fillId="15" borderId="0" xfId="12" applyAlignment="1" applyProtection="1">
      <alignment horizontal="center" vertical="center"/>
    </xf>
    <xf numFmtId="0" fontId="1" fillId="0" borderId="0" xfId="26" applyFill="1" applyBorder="1">
      <alignment horizontal="left" vertical="center" wrapText="1" indent="2"/>
    </xf>
    <xf numFmtId="1" fontId="1" fillId="0" borderId="0" xfId="25" applyFill="1" applyBorder="1" applyProtection="1">
      <alignment horizontal="center" vertical="center"/>
    </xf>
    <xf numFmtId="0" fontId="0" fillId="0" borderId="0" xfId="0" applyProtection="1">
      <alignment horizontal="left" vertical="center"/>
    </xf>
    <xf numFmtId="0" fontId="6" fillId="2" borderId="0" xfId="3" applyProtection="1">
      <alignment horizontal="center" vertical="center"/>
    </xf>
    <xf numFmtId="164" fontId="0" fillId="0" borderId="0" xfId="0" applyNumberFormat="1" applyFont="1" applyFill="1" applyBorder="1" applyAlignment="1" applyProtection="1">
      <alignment horizontal="center" vertical="center"/>
    </xf>
    <xf numFmtId="0" fontId="7" fillId="0" borderId="0" xfId="1" applyAlignment="1" applyProtection="1">
      <alignment vertical="top"/>
    </xf>
    <xf numFmtId="0" fontId="1" fillId="2" borderId="0" xfId="21" applyBorder="1" applyAlignment="1" applyProtection="1">
      <alignment horizontal="left" vertical="center" indent="1"/>
    </xf>
    <xf numFmtId="0" fontId="0" fillId="0" borderId="0" xfId="21" applyFont="1" applyFill="1" applyBorder="1" applyAlignment="1" applyProtection="1">
      <alignment horizontal="center" vertical="center"/>
    </xf>
    <xf numFmtId="0" fontId="0" fillId="0" borderId="0" xfId="0" applyAlignment="1" applyProtection="1">
      <alignment horizontal="left" vertical="center" wrapText="1"/>
    </xf>
    <xf numFmtId="0" fontId="8" fillId="0" borderId="0" xfId="27" applyProtection="1">
      <alignment horizontal="center"/>
    </xf>
    <xf numFmtId="0" fontId="0" fillId="0" borderId="0" xfId="0" applyFont="1" applyFill="1" applyBorder="1" applyAlignment="1" applyProtection="1">
      <alignment horizontal="left" vertical="center" indent="1"/>
    </xf>
    <xf numFmtId="0" fontId="7" fillId="0" borderId="0" xfId="1">
      <alignment vertical="top"/>
    </xf>
    <xf numFmtId="0" fontId="0" fillId="0" borderId="0" xfId="26" applyFont="1">
      <alignment horizontal="left" vertical="center" wrapText="1" indent="2"/>
    </xf>
    <xf numFmtId="0" fontId="1" fillId="2" borderId="0" xfId="21" applyAlignment="1" applyProtection="1">
      <alignment horizontal="left" vertical="center"/>
    </xf>
    <xf numFmtId="0" fontId="2" fillId="21" borderId="0" xfId="4" applyFill="1" applyProtection="1">
      <alignment horizontal="right" vertical="center" indent="1"/>
    </xf>
    <xf numFmtId="0" fontId="9" fillId="0" borderId="0" xfId="0" applyFont="1" applyProtection="1">
      <alignment horizontal="left" vertical="center"/>
    </xf>
    <xf numFmtId="49" fontId="2" fillId="10" borderId="0" xfId="19" applyNumberFormat="1" applyFont="1" applyAlignment="1" applyProtection="1">
      <alignment horizontal="center" vertical="center"/>
    </xf>
    <xf numFmtId="164" fontId="2" fillId="0" borderId="0" xfId="24" applyNumberFormat="1" applyFont="1" applyFill="1" applyAlignment="1" applyProtection="1">
      <alignment horizontal="center" vertical="center"/>
    </xf>
    <xf numFmtId="0" fontId="1" fillId="0" borderId="0" xfId="21" applyFill="1" applyAlignment="1" applyProtection="1">
      <alignment horizontal="left" vertical="center"/>
    </xf>
    <xf numFmtId="0" fontId="0" fillId="21" borderId="0" xfId="0" applyFill="1" applyAlignment="1">
      <alignment horizontal="left" vertical="center"/>
    </xf>
    <xf numFmtId="0" fontId="2" fillId="21" borderId="0" xfId="23" applyFont="1" applyFill="1" applyAlignment="1" applyProtection="1">
      <alignment horizontal="left" vertical="center"/>
    </xf>
    <xf numFmtId="0" fontId="10" fillId="22" borderId="0" xfId="23" applyFont="1" applyFill="1" applyAlignment="1" applyProtection="1">
      <alignment horizontal="center" vertical="center"/>
    </xf>
    <xf numFmtId="164" fontId="2" fillId="0" borderId="0" xfId="8" applyNumberFormat="1" applyFont="1" applyFill="1" applyAlignment="1" applyProtection="1">
      <alignment horizontal="center" vertical="center"/>
    </xf>
    <xf numFmtId="0" fontId="2" fillId="2" borderId="0" xfId="21" applyFont="1" applyAlignment="1" applyProtection="1">
      <alignment horizontal="left" vertical="center"/>
    </xf>
    <xf numFmtId="164" fontId="2" fillId="25" borderId="0" xfId="8" applyNumberFormat="1" applyFont="1" applyFill="1" applyAlignment="1" applyProtection="1">
      <alignment horizontal="center" vertical="center"/>
    </xf>
    <xf numFmtId="164" fontId="11" fillId="24" borderId="0" xfId="24" applyNumberFormat="1" applyFont="1" applyFill="1" applyAlignment="1" applyProtection="1">
      <alignment horizontal="center" vertical="center"/>
    </xf>
    <xf numFmtId="0" fontId="6" fillId="0" borderId="0" xfId="3" applyFill="1" applyProtection="1">
      <alignment horizontal="center" vertical="center"/>
    </xf>
    <xf numFmtId="0" fontId="6" fillId="23" borderId="0" xfId="3" applyFill="1" applyProtection="1">
      <alignment horizontal="center" vertical="center"/>
    </xf>
    <xf numFmtId="0" fontId="0" fillId="23" borderId="0" xfId="0" applyFill="1">
      <alignment horizontal="left" vertical="center"/>
    </xf>
    <xf numFmtId="0" fontId="1" fillId="23" borderId="0" xfId="26" applyFill="1" applyBorder="1">
      <alignment horizontal="left" vertical="center" wrapText="1" indent="2"/>
    </xf>
    <xf numFmtId="0" fontId="14" fillId="23" borderId="7" xfId="3" applyFont="1" applyFill="1" applyBorder="1" applyProtection="1">
      <alignment horizontal="center" vertical="center"/>
    </xf>
    <xf numFmtId="0" fontId="14" fillId="23" borderId="2" xfId="21" applyFont="1" applyFill="1" applyBorder="1" applyAlignment="1" applyProtection="1">
      <alignment horizontal="center" vertical="center"/>
    </xf>
    <xf numFmtId="0" fontId="14" fillId="23" borderId="1" xfId="0" applyFont="1" applyFill="1" applyBorder="1" applyAlignment="1">
      <alignment horizontal="center" vertical="center"/>
    </xf>
    <xf numFmtId="0" fontId="15" fillId="23" borderId="2" xfId="0" applyFont="1" applyFill="1" applyBorder="1" applyAlignment="1">
      <alignment horizontal="center" vertical="center"/>
    </xf>
    <xf numFmtId="0" fontId="16" fillId="0" borderId="4" xfId="0" applyFont="1" applyFill="1" applyBorder="1" applyAlignment="1">
      <alignment horizontal="center" vertical="center"/>
    </xf>
    <xf numFmtId="12" fontId="12" fillId="0" borderId="0" xfId="0" applyNumberFormat="1" applyFont="1" applyFill="1" applyBorder="1" applyAlignment="1" applyProtection="1">
      <alignment horizontal="center" vertical="center"/>
    </xf>
    <xf numFmtId="0" fontId="13" fillId="26" borderId="0" xfId="0" applyFont="1" applyFill="1" applyBorder="1" applyAlignment="1" applyProtection="1">
      <alignment horizontal="center" vertical="center"/>
    </xf>
    <xf numFmtId="0" fontId="2" fillId="26" borderId="0" xfId="21" applyFont="1" applyFill="1" applyBorder="1" applyAlignment="1" applyProtection="1">
      <alignment horizontal="left" vertical="center" indent="1"/>
    </xf>
    <xf numFmtId="0" fontId="16" fillId="0" borderId="3" xfId="0" applyFont="1" applyFill="1" applyBorder="1" applyAlignment="1">
      <alignment horizontal="center" vertical="center"/>
    </xf>
    <xf numFmtId="0" fontId="16" fillId="0" borderId="5" xfId="0" applyFont="1" applyFill="1" applyBorder="1" applyAlignment="1">
      <alignment horizontal="center" vertical="center"/>
    </xf>
    <xf numFmtId="165" fontId="16" fillId="0" borderId="4" xfId="25" applyNumberFormat="1" applyFont="1" applyFill="1" applyBorder="1" applyProtection="1">
      <alignment horizontal="center" vertical="center"/>
    </xf>
    <xf numFmtId="165" fontId="16" fillId="0" borderId="3" xfId="25" applyNumberFormat="1" applyFont="1" applyFill="1" applyBorder="1" applyProtection="1">
      <alignment horizontal="center" vertical="center"/>
    </xf>
    <xf numFmtId="165" fontId="16" fillId="0" borderId="5" xfId="25" applyNumberFormat="1" applyFont="1" applyFill="1" applyBorder="1" applyProtection="1">
      <alignment horizontal="center" vertical="center"/>
    </xf>
    <xf numFmtId="0" fontId="6" fillId="23" borderId="0" xfId="3" applyFill="1" applyProtection="1">
      <alignment horizontal="center" vertical="center"/>
    </xf>
    <xf numFmtId="0" fontId="1" fillId="0" borderId="0" xfId="21" applyFill="1" applyAlignment="1" applyProtection="1">
      <alignment horizontal="left" vertical="center"/>
    </xf>
    <xf numFmtId="0" fontId="2" fillId="2" borderId="0" xfId="21" applyFont="1" applyAlignment="1" applyProtection="1">
      <alignment horizontal="left" vertical="center"/>
    </xf>
    <xf numFmtId="0" fontId="2" fillId="0" borderId="0" xfId="0" applyFont="1" applyAlignment="1">
      <alignment horizontal="left" vertical="center"/>
    </xf>
    <xf numFmtId="49" fontId="2" fillId="21" borderId="0" xfId="19" applyNumberFormat="1" applyFont="1" applyFill="1" applyAlignment="1" applyProtection="1">
      <alignment horizontal="left" vertical="center"/>
    </xf>
    <xf numFmtId="0" fontId="0" fillId="0" borderId="0" xfId="0" applyAlignment="1">
      <alignment horizontal="left" vertical="center"/>
    </xf>
    <xf numFmtId="164" fontId="2" fillId="21" borderId="0" xfId="8" applyNumberFormat="1" applyFont="1" applyFill="1" applyAlignment="1" applyProtection="1">
      <alignment horizontal="left" vertical="center"/>
    </xf>
    <xf numFmtId="0" fontId="6" fillId="2" borderId="0" xfId="3" applyProtection="1">
      <alignment horizontal="center" vertical="center"/>
    </xf>
    <xf numFmtId="167" fontId="12" fillId="27" borderId="6" xfId="0" applyNumberFormat="1" applyFont="1" applyFill="1" applyBorder="1" applyAlignment="1" applyProtection="1">
      <alignment horizontal="center" vertical="center"/>
    </xf>
    <xf numFmtId="167" fontId="12" fillId="0" borderId="6"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cellXfs>
  <cellStyles count="28">
    <cellStyle name="20% - Accent1" xfId="15" builtinId="30" customBuiltin="1"/>
    <cellStyle name="20% - Accent3" xfId="21" builtinId="38" customBuiltin="1"/>
    <cellStyle name="20% - Accent4" xfId="7" builtinId="42" customBuiltin="1"/>
    <cellStyle name="20% - Accent6" xfId="11" builtinId="50" customBuiltin="1"/>
    <cellStyle name="40% - Accent1" xfId="16" builtinId="31" customBuiltin="1"/>
    <cellStyle name="40% - Accent2" xfId="19" builtinId="35" customBuiltin="1"/>
    <cellStyle name="40% - Accent3" xfId="22" builtinId="39" customBuiltin="1"/>
    <cellStyle name="40% - Accent4" xfId="8" builtinId="43" customBuiltin="1"/>
    <cellStyle name="40% - Accent5" xfId="24" builtinId="47" customBuiltin="1"/>
    <cellStyle name="40% - Accent6" xfId="12" builtinId="51" customBuiltin="1"/>
    <cellStyle name="60% - Accent1" xfId="17" builtinId="32" customBuiltin="1"/>
    <cellStyle name="60% - Accent3" xfId="23" builtinId="40" customBuiltin="1"/>
    <cellStyle name="60% - Accent4" xfId="9" builtinId="44" customBuiltin="1"/>
    <cellStyle name="60% - Accent6" xfId="13" builtinId="52" customBuiltin="1"/>
    <cellStyle name="Accent1" xfId="14" builtinId="29" customBuiltin="1"/>
    <cellStyle name="Accent2" xfId="18" builtinId="33" customBuiltin="1"/>
    <cellStyle name="Accent3" xfId="20" builtinId="37" customBuiltin="1"/>
    <cellStyle name="Accent4" xfId="6" builtinId="41" customBuiltin="1"/>
    <cellStyle name="Accent6" xfId="10" builtinId="49" customBuiltin="1"/>
    <cellStyle name="Etiket" xfId="27"/>
    <cellStyle name="Kop 1" xfId="2" builtinId="16" customBuiltin="1"/>
    <cellStyle name="Kop 2" xfId="3" builtinId="17" customBuiltin="1"/>
    <cellStyle name="Kop 3" xfId="4" builtinId="18" customBuiltin="1"/>
    <cellStyle name="Kop 4" xfId="5" builtinId="19" customBuiltin="1"/>
    <cellStyle name="Standaard" xfId="0" builtinId="0" customBuiltin="1"/>
    <cellStyle name="Titel" xfId="1" builtinId="15" customBuiltin="1"/>
    <cellStyle name="Totaal" xfId="25" builtinId="25" customBuiltin="1"/>
    <cellStyle name="Werknemer" xfId="26"/>
  </cellStyles>
  <dxfs count="1033">
    <dxf>
      <fill>
        <patternFill>
          <bgColor theme="6" tint="0.39994506668294322"/>
        </patternFill>
      </fill>
    </dxf>
    <dxf>
      <font>
        <b/>
        <i val="0"/>
        <strike val="0"/>
      </font>
      <fill>
        <patternFill>
          <bgColor theme="7" tint="0.59996337778862885"/>
        </patternFill>
      </fill>
    </dxf>
    <dxf>
      <font>
        <b/>
        <i val="0"/>
        <strike/>
      </font>
      <fill>
        <patternFill>
          <bgColor rgb="FF00B0F0"/>
        </patternFill>
      </fill>
    </dxf>
    <dxf>
      <font>
        <strike val="0"/>
        <color rgb="FFFFFF00"/>
      </font>
      <fill>
        <patternFill>
          <bgColor rgb="FFFF0000"/>
        </patternFill>
      </fill>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ill>
        <patternFill>
          <bgColor theme="6" tint="-0.24994659260841701"/>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0"/>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i val="0"/>
        <color auto="1"/>
      </font>
      <fill>
        <patternFill>
          <bgColor rgb="FFFFFF00"/>
        </patternFill>
      </fill>
    </dxf>
    <dxf>
      <fill>
        <patternFill>
          <bgColor theme="6" tint="0.39994506668294322"/>
        </patternFill>
      </fill>
    </dxf>
    <dxf>
      <font>
        <color rgb="FF9C5700"/>
      </font>
      <fill>
        <patternFill>
          <bgColor rgb="FFFFEB9C"/>
        </patternFill>
      </fill>
    </dxf>
    <dxf>
      <font>
        <color rgb="FF9C0006"/>
      </font>
      <fill>
        <patternFill>
          <bgColor rgb="FFFFC7CE"/>
        </patternFill>
      </fill>
    </dxf>
    <dxf>
      <font>
        <b/>
        <i val="0"/>
      </font>
    </dxf>
    <dxf>
      <fill>
        <patternFill>
          <bgColor theme="5" tint="0.59996337778862885"/>
        </patternFill>
      </fill>
    </dxf>
    <dxf>
      <font>
        <b/>
        <i val="0"/>
        <color theme="1"/>
      </font>
      <fill>
        <patternFill>
          <bgColor theme="6" tint="0.39994506668294322"/>
        </patternFill>
      </fill>
    </dxf>
    <dxf>
      <font>
        <b/>
        <i val="0"/>
      </font>
      <fill>
        <patternFill>
          <bgColor theme="6" tint="0.39994506668294322"/>
        </patternFill>
      </fill>
    </dxf>
    <dxf>
      <fill>
        <patternFill>
          <bgColor theme="6" tint="0.39994506668294322"/>
        </patternFill>
      </fill>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0"/>
      </font>
      <border>
        <vertical/>
        <horizontal/>
      </border>
    </dxf>
    <dxf>
      <font>
        <b val="0"/>
        <i val="0"/>
        <color theme="3"/>
      </font>
      <border>
        <vertical/>
        <horizontal/>
      </border>
    </dxf>
    <dxf>
      <font>
        <strike val="0"/>
        <outline val="0"/>
        <shadow val="0"/>
        <u val="none"/>
        <vertAlign val="baseline"/>
        <sz val="14"/>
        <color theme="1"/>
        <name val="Calibri"/>
        <family val="2"/>
        <scheme val="minor"/>
      </font>
      <numFmt numFmtId="165" formatCode="0.0"/>
      <fill>
        <patternFill patternType="none">
          <fgColor indexed="64"/>
          <bgColor auto="1"/>
        </patternFill>
      </fill>
      <border diagonalUp="0" diagonalDown="0">
        <left style="medium">
          <color auto="1"/>
        </left>
        <right style="medium">
          <color auto="1"/>
        </right>
        <top style="thin">
          <color auto="1"/>
        </top>
        <bottom style="thin">
          <color auto="1"/>
        </bottom>
      </border>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border outline="0">
        <left/>
        <right style="medium">
          <color auto="1"/>
        </right>
      </border>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alignment horizontal="left" vertical="center" textRotation="0" wrapText="0" indent="1" justifyLastLine="0" shrinkToFit="0" readingOrder="0"/>
      <border diagonalUp="0" diagonalDown="0">
        <left/>
        <right/>
        <top/>
        <bottom/>
      </border>
      <protection locked="1" hidden="0"/>
    </dxf>
    <dxf>
      <fill>
        <patternFill patternType="solid">
          <fgColor indexed="64"/>
          <bgColor theme="6" tint="0.59999389629810485"/>
        </patternFill>
      </fill>
    </dxf>
    <dxf>
      <protection locked="1" hidden="0"/>
    </dxf>
    <dxf>
      <protection locked="1" hidden="0"/>
    </dxf>
    <dxf>
      <protection locked="1" hidden="0"/>
    </dxf>
    <dxf>
      <fill>
        <patternFill patternType="solid">
          <bgColor theme="6" tint="0.79998168889431442"/>
        </patternFill>
      </fill>
      <border diagonalUp="0" diagonalDown="0">
        <left/>
        <right/>
        <top style="thin">
          <color theme="0" tint="-0.14996795556505021"/>
        </top>
        <bottom style="medium">
          <color theme="2" tint="-0.499984740745262"/>
        </bottom>
        <vertical/>
        <horizontal/>
      </border>
    </dxf>
    <dxf>
      <font>
        <color theme="1"/>
      </font>
      <fill>
        <patternFill patternType="solid">
          <bgColor theme="6" tint="0.79998168889431442"/>
        </patternFill>
      </fill>
      <border diagonalUp="0" diagonalDown="0">
        <left/>
        <right/>
        <top style="thin">
          <color theme="0" tint="-0.14993743705557422"/>
        </top>
        <bottom style="medium">
          <color theme="2" tint="-0.499984740745262"/>
        </bottom>
        <vertical/>
        <horizontal style="thin">
          <color theme="0" tint="-0.14993743705557422"/>
        </horizontal>
      </border>
    </dxf>
    <dxf>
      <font>
        <color theme="1"/>
      </font>
      <fill>
        <patternFill patternType="solid">
          <bgColor theme="2"/>
        </patternFill>
      </fill>
      <border diagonalUp="0" diagonalDown="0">
        <left/>
        <right/>
        <top/>
        <bottom style="thin">
          <color theme="0" tint="-0.14996795556505021"/>
        </bottom>
        <vertical/>
        <horizontal/>
      </border>
    </dxf>
    <dxf>
      <font>
        <color theme="1"/>
      </font>
      <fill>
        <patternFill patternType="none">
          <bgColor auto="1"/>
        </patternFill>
      </fill>
      <border diagonalUp="0" diagonalDown="0">
        <left/>
        <right/>
        <top style="thin">
          <color theme="0" tint="-0.14996795556505021"/>
        </top>
        <bottom style="thin">
          <color theme="0" tint="-0.14993743705557422"/>
        </bottom>
        <vertical/>
        <horizontal/>
      </border>
    </dxf>
    <dxf>
      <fill>
        <patternFill>
          <bgColor theme="0" tint="-0.14996795556505021"/>
        </patternFill>
      </fill>
      <border>
        <left style="thin">
          <color theme="0"/>
        </left>
        <right style="thin">
          <color theme="0"/>
        </right>
        <vertical style="thin">
          <color theme="0"/>
        </vertical>
      </border>
    </dxf>
    <dxf>
      <fill>
        <patternFill>
          <bgColor theme="0" tint="-4.9989318521683403E-2"/>
        </patternFill>
      </fill>
      <border>
        <left style="thin">
          <color theme="0"/>
        </left>
        <right style="thin">
          <color theme="0"/>
        </right>
        <vertical style="thin">
          <color theme="0"/>
        </vertical>
      </border>
    </dxf>
    <dxf>
      <fill>
        <patternFill>
          <bgColor theme="0" tint="-0.14996795556505021"/>
        </patternFill>
      </fill>
    </dxf>
    <dxf>
      <fill>
        <patternFill patternType="solid">
          <fgColor theme="4" tint="0.79992065187536243"/>
          <bgColor theme="0" tint="-4.9989318521683403E-2"/>
        </patternFill>
      </fill>
    </dxf>
    <dxf>
      <font>
        <color theme="1"/>
      </font>
      <fill>
        <patternFill patternType="none">
          <bgColor auto="1"/>
        </patternFill>
      </fill>
      <border diagonalUp="0" diagonalDown="0">
        <left/>
        <right/>
        <top/>
        <bottom style="thin">
          <color theme="0" tint="-0.14996795556505021"/>
        </bottom>
        <vertical/>
        <horizontal style="thin">
          <color theme="0" tint="-0.14996795556505021"/>
        </horizontal>
      </border>
    </dxf>
    <dxf>
      <font>
        <color theme="1"/>
      </font>
      <fill>
        <patternFill patternType="none">
          <bgColor auto="1"/>
        </patternFill>
      </fill>
      <border>
        <left/>
        <right/>
        <top style="thin">
          <color theme="2" tint="-9.9917600024414813E-2"/>
        </top>
        <bottom style="thin">
          <color theme="2" tint="-9.9948118533890809E-2"/>
        </bottom>
        <vertical/>
        <horizontal style="thin">
          <color theme="2" tint="-9.9917600024414813E-2"/>
        </horizontal>
      </border>
    </dxf>
    <dxf>
      <font>
        <color theme="1"/>
      </font>
      <fill>
        <patternFill>
          <bgColor theme="6" tint="0.79998168889431442"/>
        </patternFill>
      </fill>
      <border diagonalUp="0" diagonalDown="0">
        <left style="thin">
          <color theme="0"/>
        </left>
        <right style="thin">
          <color theme="0"/>
        </right>
        <top/>
        <bottom style="medium">
          <color theme="2" tint="-0.499984740745262"/>
        </bottom>
        <vertical style="thin">
          <color theme="0"/>
        </vertical>
        <horizontal/>
      </border>
    </dxf>
    <dxf>
      <font>
        <color theme="0"/>
      </font>
      <fill>
        <patternFill>
          <bgColor theme="3"/>
        </patternFill>
      </fill>
    </dxf>
    <dxf>
      <font>
        <color theme="1"/>
      </font>
      <border diagonalUp="0" diagonalDown="0">
        <left/>
        <right/>
        <top/>
        <bottom/>
        <vertical style="thin">
          <color theme="0"/>
        </vertical>
        <horizontal/>
      </border>
    </dxf>
  </dxfs>
  <tableStyles count="1" defaultTableStyle="Werknemersafwezigheidstabel" defaultPivotStyle="PivotStyleLight16">
    <tableStyle name="Werknemersafwezigheidstabel" pivot="0" count="13">
      <tableStyleElement type="wholeTable" dxfId="1032"/>
      <tableStyleElement type="headerRow" dxfId="1031"/>
      <tableStyleElement type="totalRow" dxfId="1030"/>
      <tableStyleElement type="firstColumn" dxfId="1029"/>
      <tableStyleElement type="lastColumn" dxfId="1028"/>
      <tableStyleElement type="firstRowStripe" dxfId="1027"/>
      <tableStyleElement type="secondRowStripe" dxfId="1026"/>
      <tableStyleElement type="firstColumnStripe" dxfId="1025"/>
      <tableStyleElement type="secondColumnStripe" dxfId="1024"/>
      <tableStyleElement type="firstHeaderCell" dxfId="1023"/>
      <tableStyleElement type="lastHeaderCell" dxfId="1022"/>
      <tableStyleElement type="firstTotalCell" dxfId="1021"/>
      <tableStyleElement type="lastTotalCell" dxfId="102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id="3" name="Januari" displayName="Januari" ref="B6:AH11" totalsRowShown="0" headerRowDxfId="1019" dataDxfId="1018" totalsRowDxfId="1017">
  <autoFilter ref="B6:AH1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tableColumns count="33">
    <tableColumn id="1" name="Naam van werknemer" dataDxfId="1016" totalsRowDxfId="1015"/>
    <tableColumn id="2" name="1" dataDxfId="43"/>
    <tableColumn id="3" name="2" dataDxfId="1014"/>
    <tableColumn id="4" name="3" dataDxfId="1013"/>
    <tableColumn id="5" name="4" dataDxfId="1012"/>
    <tableColumn id="6" name="5" dataDxfId="1011"/>
    <tableColumn id="7" name="6" dataDxfId="1010"/>
    <tableColumn id="8" name="7" dataDxfId="42"/>
    <tableColumn id="9" name="8" dataDxfId="41"/>
    <tableColumn id="10" name="9" dataDxfId="1009"/>
    <tableColumn id="11" name="10" dataDxfId="1008"/>
    <tableColumn id="12" name="11" dataDxfId="1007"/>
    <tableColumn id="13" name="12" dataDxfId="1006"/>
    <tableColumn id="14" name="13" dataDxfId="1005"/>
    <tableColumn id="15" name="14" dataDxfId="40"/>
    <tableColumn id="16" name="15" dataDxfId="39"/>
    <tableColumn id="17" name="16" dataDxfId="1004"/>
    <tableColumn id="18" name="17" dataDxfId="1003"/>
    <tableColumn id="19" name="18" dataDxfId="1002"/>
    <tableColumn id="20" name="19" dataDxfId="1001"/>
    <tableColumn id="21" name="20" dataDxfId="1000"/>
    <tableColumn id="22" name="21" dataDxfId="38"/>
    <tableColumn id="23" name="22" dataDxfId="37"/>
    <tableColumn id="24" name="23" dataDxfId="999"/>
    <tableColumn id="25" name="24" dataDxfId="998"/>
    <tableColumn id="26" name="25" dataDxfId="997"/>
    <tableColumn id="27" name="26" dataDxfId="996"/>
    <tableColumn id="28" name="27" dataDxfId="995"/>
    <tableColumn id="29" name="28" dataDxfId="36"/>
    <tableColumn id="30" name="29" dataDxfId="35"/>
    <tableColumn id="31" name="30" dataDxfId="994"/>
    <tableColumn id="32" name="31" dataDxfId="993"/>
    <tableColumn id="33" name="dagen verlof" dataDxfId="992">
      <calculatedColumnFormula>COUNTA(Januari!$C7:$AG7)-COUNT(Januari!$C7:$AG7)+(COUNTIF(Januari!$C7:$AG7,"&lt;1")/2)-COUNTIF(Januari!$C7:$AG7,"W")-COUNTIF(Januari!$C7:$AG7,"Z")-COUNTIF(Januari!$C7:$AG7,"R")</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0.xml><?xml version="1.0" encoding="utf-8"?>
<table xmlns="http://schemas.openxmlformats.org/spreadsheetml/2006/main" id="21" name="Oktober" displayName="Oktober" ref="B6:AH12" totalsRowCount="1" headerRowDxfId="284" dataDxfId="283" totalsRowDxfId="282">
  <tableColumns count="33">
    <tableColumn id="1" name="Naam van werknemer" totalsRowFunction="custom" dataDxfId="281" totalsRowDxfId="280" dataCellStyle="Werknemer">
      <totalsRowFormula>MonthName&amp;" totaal"</totalsRowFormula>
    </tableColumn>
    <tableColumn id="2" name="1" totalsRowFunction="count" dataDxfId="279" totalsRowDxfId="278"/>
    <tableColumn id="3" name="2" totalsRowFunction="count" dataDxfId="277" totalsRowDxfId="276"/>
    <tableColumn id="4" name="3" totalsRowFunction="count" dataDxfId="275" totalsRowDxfId="274"/>
    <tableColumn id="5" name="4" totalsRowFunction="count" dataDxfId="273" totalsRowDxfId="272"/>
    <tableColumn id="6" name="5" totalsRowFunction="count" dataDxfId="271" totalsRowDxfId="270"/>
    <tableColumn id="7" name="6" totalsRowFunction="count" dataDxfId="269" totalsRowDxfId="268"/>
    <tableColumn id="8" name="7" totalsRowFunction="count" dataDxfId="267" totalsRowDxfId="266"/>
    <tableColumn id="9" name="8" totalsRowFunction="count" dataDxfId="265" totalsRowDxfId="264"/>
    <tableColumn id="10" name="9" totalsRowFunction="count" dataDxfId="263" totalsRowDxfId="262"/>
    <tableColumn id="11" name="10" totalsRowFunction="count" dataDxfId="261" totalsRowDxfId="260"/>
    <tableColumn id="12" name="11" totalsRowFunction="count" dataDxfId="259" totalsRowDxfId="258"/>
    <tableColumn id="13" name="12" totalsRowFunction="count" dataDxfId="257" totalsRowDxfId="256"/>
    <tableColumn id="14" name="13" totalsRowFunction="count" dataDxfId="255" totalsRowDxfId="254"/>
    <tableColumn id="15" name="14" totalsRowFunction="count" dataDxfId="253" totalsRowDxfId="252"/>
    <tableColumn id="16" name="15" totalsRowFunction="count" dataDxfId="251" totalsRowDxfId="250"/>
    <tableColumn id="17" name="16" totalsRowFunction="count" dataDxfId="249" totalsRowDxfId="248"/>
    <tableColumn id="18" name="17" totalsRowFunction="count" dataDxfId="247" totalsRowDxfId="246"/>
    <tableColumn id="19" name="18" totalsRowFunction="count" dataDxfId="245" totalsRowDxfId="244"/>
    <tableColumn id="20" name="19" totalsRowFunction="count" dataDxfId="243" totalsRowDxfId="242"/>
    <tableColumn id="21" name="20" totalsRowFunction="count" dataDxfId="241" totalsRowDxfId="240"/>
    <tableColumn id="22" name="21" totalsRowFunction="count" dataDxfId="239" totalsRowDxfId="238"/>
    <tableColumn id="23" name="22" totalsRowFunction="count" dataDxfId="237" totalsRowDxfId="236"/>
    <tableColumn id="24" name="23" totalsRowFunction="count" dataDxfId="235" totalsRowDxfId="234"/>
    <tableColumn id="25" name="24" totalsRowFunction="count" dataDxfId="233" totalsRowDxfId="232"/>
    <tableColumn id="26" name="25" totalsRowFunction="count" dataDxfId="231" totalsRowDxfId="230"/>
    <tableColumn id="27" name="26" totalsRowFunction="count" dataDxfId="229" totalsRowDxfId="228"/>
    <tableColumn id="28" name="27" totalsRowFunction="count" dataDxfId="227" totalsRowDxfId="226"/>
    <tableColumn id="29" name="28" totalsRowFunction="count" dataDxfId="225" totalsRowDxfId="224"/>
    <tableColumn id="30" name="29" totalsRowFunction="count" dataDxfId="223" totalsRowDxfId="222"/>
    <tableColumn id="31" name="30" totalsRowFunction="sum" dataDxfId="221" totalsRowDxfId="220"/>
    <tableColumn id="32" name="31" totalsRowFunction="sum" dataDxfId="219" totalsRowDxfId="218"/>
    <tableColumn id="33" name="Totaal aantal dagen" totalsRowFunction="sum" dataDxfId="217" totalsRowDxfId="216">
      <calculatedColumnFormula>COUNTA(Oktober[[#This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1.xml><?xml version="1.0" encoding="utf-8"?>
<table xmlns="http://schemas.openxmlformats.org/spreadsheetml/2006/main" id="22" name="November" displayName="November" ref="B6:AH12" totalsRowCount="1" headerRowDxfId="198" dataDxfId="197" totalsRowDxfId="196">
  <tableColumns count="33">
    <tableColumn id="1" name="Naam van werknemer" totalsRowFunction="custom" dataDxfId="195" totalsRowDxfId="194" dataCellStyle="Werknemer">
      <totalsRowFormula>MonthName&amp;" totaal"</totalsRowFormula>
    </tableColumn>
    <tableColumn id="2" name="1" totalsRowFunction="count" dataDxfId="193" totalsRowDxfId="192"/>
    <tableColumn id="3" name="2" totalsRowFunction="count" dataDxfId="191" totalsRowDxfId="190"/>
    <tableColumn id="4" name="3" totalsRowFunction="count" dataDxfId="189" totalsRowDxfId="188"/>
    <tableColumn id="5" name="4" totalsRowFunction="count" dataDxfId="187" totalsRowDxfId="186"/>
    <tableColumn id="6" name="5" totalsRowFunction="count" dataDxfId="185" totalsRowDxfId="184"/>
    <tableColumn id="7" name="6" totalsRowFunction="count" dataDxfId="183" totalsRowDxfId="182"/>
    <tableColumn id="8" name="7" totalsRowFunction="count" dataDxfId="181" totalsRowDxfId="180"/>
    <tableColumn id="9" name="8" totalsRowFunction="count" dataDxfId="179" totalsRowDxfId="178"/>
    <tableColumn id="10" name="9" totalsRowFunction="count" dataDxfId="177" totalsRowDxfId="176"/>
    <tableColumn id="11" name="10" totalsRowFunction="count" dataDxfId="175" totalsRowDxfId="174"/>
    <tableColumn id="12" name="11" totalsRowFunction="count" dataDxfId="173" totalsRowDxfId="172"/>
    <tableColumn id="13" name="12" totalsRowFunction="count" dataDxfId="171" totalsRowDxfId="170"/>
    <tableColumn id="14" name="13" totalsRowFunction="count" dataDxfId="169" totalsRowDxfId="168"/>
    <tableColumn id="15" name="14" totalsRowFunction="count" dataDxfId="167" totalsRowDxfId="166"/>
    <tableColumn id="16" name="15" totalsRowFunction="count" dataDxfId="165" totalsRowDxfId="164"/>
    <tableColumn id="17" name="16" totalsRowFunction="count" dataDxfId="163" totalsRowDxfId="162"/>
    <tableColumn id="18" name="17" totalsRowFunction="count" dataDxfId="161" totalsRowDxfId="160"/>
    <tableColumn id="19" name="18" totalsRowFunction="count" dataDxfId="159" totalsRowDxfId="158"/>
    <tableColumn id="20" name="19" totalsRowFunction="count" dataDxfId="157" totalsRowDxfId="156"/>
    <tableColumn id="21" name="20" totalsRowFunction="count" dataDxfId="155" totalsRowDxfId="154"/>
    <tableColumn id="22" name="21" totalsRowFunction="count" dataDxfId="153" totalsRowDxfId="152"/>
    <tableColumn id="23" name="22" totalsRowFunction="count" dataDxfId="151" totalsRowDxfId="150"/>
    <tableColumn id="24" name="23" totalsRowFunction="count" dataDxfId="149" totalsRowDxfId="148"/>
    <tableColumn id="25" name="24" totalsRowFunction="count" dataDxfId="147" totalsRowDxfId="146"/>
    <tableColumn id="26" name="25" totalsRowFunction="count" dataDxfId="145" totalsRowDxfId="144"/>
    <tableColumn id="27" name="26" totalsRowFunction="count" dataDxfId="143" totalsRowDxfId="142"/>
    <tableColumn id="28" name="27" totalsRowFunction="count" dataDxfId="141" totalsRowDxfId="140"/>
    <tableColumn id="29" name="28" totalsRowFunction="count" dataDxfId="139" totalsRowDxfId="138"/>
    <tableColumn id="30" name="29" totalsRowFunction="count" dataDxfId="137" totalsRowDxfId="136"/>
    <tableColumn id="31" name="30" totalsRowFunction="sum" dataDxfId="135" totalsRowDxfId="134"/>
    <tableColumn id="32" name="31" totalsRowFunction="sum" dataDxfId="133" totalsRowDxfId="132"/>
    <tableColumn id="33" name="Totaal aantal dagen" totalsRowFunction="sum" dataDxfId="131" totalsRowDxfId="130">
      <calculatedColumnFormula>COUNTA(November[[#This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2.xml><?xml version="1.0" encoding="utf-8"?>
<table xmlns="http://schemas.openxmlformats.org/spreadsheetml/2006/main" id="12" name="December" displayName="December" ref="B6:AH12" totalsRowCount="1" headerRowDxfId="112" dataDxfId="111" totalsRowDxfId="110">
  <tableColumns count="33">
    <tableColumn id="1" name="Naam van werknemer" totalsRowFunction="custom" dataDxfId="109" totalsRowDxfId="108" dataCellStyle="Werknemer">
      <totalsRowFormula>MonthName&amp;" totaal"</totalsRowFormula>
    </tableColumn>
    <tableColumn id="2" name="1" totalsRowFunction="count" dataDxfId="107" totalsRowDxfId="106"/>
    <tableColumn id="3" name="2" totalsRowFunction="count" dataDxfId="105" totalsRowDxfId="104"/>
    <tableColumn id="4" name="3" totalsRowFunction="count" dataDxfId="103" totalsRowDxfId="102"/>
    <tableColumn id="5" name="4" totalsRowFunction="count" dataDxfId="101" totalsRowDxfId="100"/>
    <tableColumn id="6" name="5" totalsRowFunction="count" dataDxfId="99" totalsRowDxfId="98"/>
    <tableColumn id="7" name="6" totalsRowFunction="count" dataDxfId="97" totalsRowDxfId="96"/>
    <tableColumn id="8" name="7" totalsRowFunction="count" dataDxfId="95" totalsRowDxfId="94"/>
    <tableColumn id="9" name="8" totalsRowFunction="count" dataDxfId="93" totalsRowDxfId="92"/>
    <tableColumn id="10" name="9" totalsRowFunction="count" dataDxfId="91" totalsRowDxfId="90"/>
    <tableColumn id="11" name="10" totalsRowFunction="count" dataDxfId="89" totalsRowDxfId="88"/>
    <tableColumn id="12" name="11" totalsRowFunction="count" dataDxfId="87" totalsRowDxfId="86"/>
    <tableColumn id="13" name="12" totalsRowFunction="count" dataDxfId="85" totalsRowDxfId="84"/>
    <tableColumn id="14" name="13" totalsRowFunction="count" dataDxfId="83" totalsRowDxfId="82"/>
    <tableColumn id="15" name="14" totalsRowFunction="count" dataDxfId="81" totalsRowDxfId="80"/>
    <tableColumn id="16" name="15" totalsRowFunction="count" dataDxfId="79" totalsRowDxfId="78"/>
    <tableColumn id="17" name="16" totalsRowFunction="count" dataDxfId="77" totalsRowDxfId="76"/>
    <tableColumn id="18" name="17" totalsRowFunction="count" dataDxfId="75" totalsRowDxfId="74"/>
    <tableColumn id="19" name="18" totalsRowFunction="count" dataDxfId="73" totalsRowDxfId="72"/>
    <tableColumn id="20" name="19" totalsRowFunction="count" dataDxfId="71" totalsRowDxfId="70"/>
    <tableColumn id="21" name="20" totalsRowFunction="count" dataDxfId="69" totalsRowDxfId="68"/>
    <tableColumn id="22" name="21" totalsRowFunction="count" dataDxfId="67" totalsRowDxfId="66"/>
    <tableColumn id="23" name="22" totalsRowFunction="count" dataDxfId="65" totalsRowDxfId="64"/>
    <tableColumn id="24" name="23" totalsRowFunction="count" dataDxfId="63" totalsRowDxfId="62"/>
    <tableColumn id="25" name="24" totalsRowFunction="count" dataDxfId="61" totalsRowDxfId="60"/>
    <tableColumn id="26" name="25" totalsRowFunction="count" dataDxfId="59" totalsRowDxfId="58"/>
    <tableColumn id="27" name="26" totalsRowFunction="count" dataDxfId="57" totalsRowDxfId="56"/>
    <tableColumn id="28" name="27" totalsRowFunction="count" dataDxfId="55" totalsRowDxfId="54"/>
    <tableColumn id="29" name="28" totalsRowFunction="count" dataDxfId="53" totalsRowDxfId="52"/>
    <tableColumn id="30" name="29" totalsRowFunction="count" dataDxfId="51" totalsRowDxfId="50"/>
    <tableColumn id="31" name="30" totalsRowFunction="sum" dataDxfId="49" totalsRowDxfId="48"/>
    <tableColumn id="32" name="31" totalsRowFunction="sum" dataDxfId="47" totalsRowDxfId="46"/>
    <tableColumn id="33" name="Totaal aantal dagen" totalsRowFunction="sum" dataDxfId="45" totalsRowDxfId="44">
      <calculatedColumnFormula>COUNTA(December[[#This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Biedt een lijst met namen en kalenderdatums om de afwezigheid van werknemers en specifiek afwezigheidstype vast te leggen, zoals V = vakantie, Z = ziek, P = persoonlijk en twee tijdelijke aanduidingen voor aangepaste vermeldingen"/>
    </ext>
  </extLst>
</table>
</file>

<file path=xl/tables/table13.xml><?xml version="1.0" encoding="utf-8"?>
<table xmlns="http://schemas.openxmlformats.org/spreadsheetml/2006/main" id="13" name="NaamVanWerknemer" displayName="NaamVanWerknemer" ref="B3:B8" totalsRowShown="0" dataCellStyle="Werknemer">
  <autoFilter ref="B3:B8"/>
  <tableColumns count="1">
    <tableColumn id="1" name="Werknemersnamen" dataCellStyle="Werknemer"/>
  </tableColumns>
  <tableStyleInfo name="Werknemersafwezigheidstabel" showFirstColumn="1" showLastColumn="1" showRowStripes="1" showColumnStripes="0"/>
  <extLst>
    <ext xmlns:x14="http://schemas.microsoft.com/office/spreadsheetml/2009/9/main" uri="{504A1905-F514-4f6f-8877-14C23A59335A}">
      <x14:table altTextSummary="Voer de werknemersnamen in deze tabel in. Deze namen worden gebruikt als optie in kolom B van de afwezigheidsplanning van elke maand"/>
    </ext>
  </extLst>
</table>
</file>

<file path=xl/tables/table2.xml><?xml version="1.0" encoding="utf-8"?>
<table xmlns="http://schemas.openxmlformats.org/spreadsheetml/2006/main" id="2" name="Februari" displayName="Februari" ref="B6:AH11" totalsRowShown="0" headerRowDxfId="972" dataDxfId="971" totalsRowDxfId="970">
  <tableColumns count="33">
    <tableColumn id="1" name="Naam van werknemer" dataDxfId="969" totalsRowDxfId="968" dataCellStyle="Werknemer"/>
    <tableColumn id="2" name="1" dataDxfId="967" totalsRowDxfId="966"/>
    <tableColumn id="3" name="2" dataDxfId="965" totalsRowDxfId="964"/>
    <tableColumn id="4" name="3" dataDxfId="963" totalsRowDxfId="962"/>
    <tableColumn id="5" name="4" dataDxfId="961" totalsRowDxfId="960"/>
    <tableColumn id="6" name="5" dataDxfId="959" totalsRowDxfId="958"/>
    <tableColumn id="7" name="6" dataDxfId="957" totalsRowDxfId="956"/>
    <tableColumn id="8" name="7" dataDxfId="955" totalsRowDxfId="954"/>
    <tableColumn id="9" name="8" dataDxfId="953" totalsRowDxfId="952"/>
    <tableColumn id="10" name="9" dataDxfId="951" totalsRowDxfId="950"/>
    <tableColumn id="11" name="10" dataDxfId="949" totalsRowDxfId="948"/>
    <tableColumn id="12" name="11" dataDxfId="947" totalsRowDxfId="946"/>
    <tableColumn id="13" name="12" dataDxfId="945" totalsRowDxfId="944"/>
    <tableColumn id="14" name="13" dataDxfId="943" totalsRowDxfId="942"/>
    <tableColumn id="15" name="14" dataDxfId="941" totalsRowDxfId="940"/>
    <tableColumn id="16" name="15" dataDxfId="939" totalsRowDxfId="938"/>
    <tableColumn id="17" name="16" dataDxfId="937" totalsRowDxfId="936"/>
    <tableColumn id="18" name="17" dataDxfId="935" totalsRowDxfId="934"/>
    <tableColumn id="19" name="18" dataDxfId="933" totalsRowDxfId="932"/>
    <tableColumn id="20" name="19" dataDxfId="931" totalsRowDxfId="930"/>
    <tableColumn id="21" name="20" dataDxfId="929" totalsRowDxfId="928"/>
    <tableColumn id="22" name="21" dataDxfId="927" totalsRowDxfId="926"/>
    <tableColumn id="23" name="22" dataDxfId="925" totalsRowDxfId="924"/>
    <tableColumn id="24" name="23" dataDxfId="923" totalsRowDxfId="922"/>
    <tableColumn id="25" name="24" dataDxfId="921" totalsRowDxfId="920"/>
    <tableColumn id="26" name="25" dataDxfId="919" totalsRowDxfId="918"/>
    <tableColumn id="27" name="26" dataDxfId="917" totalsRowDxfId="916"/>
    <tableColumn id="28" name="27" dataDxfId="915" totalsRowDxfId="914"/>
    <tableColumn id="29" name="28" dataDxfId="913" totalsRowDxfId="912"/>
    <tableColumn id="30" name="29" dataDxfId="911" totalsRowDxfId="910"/>
    <tableColumn id="31" name=" " dataDxfId="909" totalsRowDxfId="908"/>
    <tableColumn id="32" name="  " dataDxfId="907" totalsRowDxfId="906"/>
    <tableColumn id="33" name="Totaal aantal dagen" dataDxfId="905" totalsRowDxfId="904">
      <calculatedColumnFormula>COUNTA(Februari[[#This Row],[1]:[29]])</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3.xml><?xml version="1.0" encoding="utf-8"?>
<table xmlns="http://schemas.openxmlformats.org/spreadsheetml/2006/main" id="14" name="Maart" displayName="Maart" ref="B6:AH12" totalsRowCount="1" headerRowDxfId="886" dataDxfId="885" totalsRowDxfId="884">
  <tableColumns count="33">
    <tableColumn id="1" name="Naam van werknemer" totalsRowFunction="custom" dataDxfId="883" totalsRowDxfId="882" dataCellStyle="Werknemer">
      <totalsRowFormula>MonthName&amp;" totaal"</totalsRowFormula>
    </tableColumn>
    <tableColumn id="2" name="1" totalsRowFunction="count" dataDxfId="881" totalsRowDxfId="880"/>
    <tableColumn id="3" name="2" totalsRowFunction="count" dataDxfId="879" totalsRowDxfId="878"/>
    <tableColumn id="4" name="3" totalsRowFunction="count" dataDxfId="877" totalsRowDxfId="876"/>
    <tableColumn id="5" name="4" totalsRowFunction="count" dataDxfId="875" totalsRowDxfId="874"/>
    <tableColumn id="6" name="5" totalsRowFunction="count" dataDxfId="873" totalsRowDxfId="872"/>
    <tableColumn id="7" name="6" totalsRowFunction="count" dataDxfId="871" totalsRowDxfId="870"/>
    <tableColumn id="8" name="7" totalsRowFunction="count" dataDxfId="869" totalsRowDxfId="868"/>
    <tableColumn id="9" name="8" totalsRowFunction="count" dataDxfId="867" totalsRowDxfId="866"/>
    <tableColumn id="10" name="9" totalsRowFunction="count" dataDxfId="865" totalsRowDxfId="864"/>
    <tableColumn id="11" name="10" totalsRowFunction="count" dataDxfId="863" totalsRowDxfId="862"/>
    <tableColumn id="12" name="11" totalsRowFunction="count" dataDxfId="861" totalsRowDxfId="860"/>
    <tableColumn id="13" name="12" totalsRowFunction="count" dataDxfId="859" totalsRowDxfId="858"/>
    <tableColumn id="14" name="13" totalsRowFunction="count" dataDxfId="857" totalsRowDxfId="856"/>
    <tableColumn id="15" name="14" totalsRowFunction="count" dataDxfId="855" totalsRowDxfId="854"/>
    <tableColumn id="16" name="15" totalsRowFunction="count" dataDxfId="853" totalsRowDxfId="852"/>
    <tableColumn id="17" name="16" totalsRowFunction="count" dataDxfId="851" totalsRowDxfId="850"/>
    <tableColumn id="18" name="17" totalsRowFunction="count" dataDxfId="849" totalsRowDxfId="848"/>
    <tableColumn id="19" name="18" totalsRowFunction="count" dataDxfId="847" totalsRowDxfId="846"/>
    <tableColumn id="20" name="19" totalsRowFunction="count" dataDxfId="845" totalsRowDxfId="844"/>
    <tableColumn id="21" name="20" totalsRowFunction="count" dataDxfId="843" totalsRowDxfId="842"/>
    <tableColumn id="22" name="21" totalsRowFunction="count" dataDxfId="841" totalsRowDxfId="840"/>
    <tableColumn id="23" name="22" totalsRowFunction="count" dataDxfId="839" totalsRowDxfId="838"/>
    <tableColumn id="24" name="23" totalsRowFunction="count" dataDxfId="837" totalsRowDxfId="836"/>
    <tableColumn id="25" name="24" totalsRowFunction="count" dataDxfId="835" totalsRowDxfId="834"/>
    <tableColumn id="26" name="25" totalsRowFunction="count" dataDxfId="833" totalsRowDxfId="832"/>
    <tableColumn id="27" name="26" totalsRowFunction="count" dataDxfId="831" totalsRowDxfId="830"/>
    <tableColumn id="28" name="27" totalsRowFunction="count" dataDxfId="829" totalsRowDxfId="828"/>
    <tableColumn id="29" name="28" totalsRowFunction="count" dataDxfId="827" totalsRowDxfId="826"/>
    <tableColumn id="30" name="29" totalsRowFunction="count" dataDxfId="825" totalsRowDxfId="824"/>
    <tableColumn id="31" name="30" totalsRowFunction="sum" dataDxfId="823" totalsRowDxfId="822"/>
    <tableColumn id="32" name="31" totalsRowFunction="sum" dataDxfId="821" totalsRowDxfId="820"/>
    <tableColumn id="33" name="Totaal aantal dagen" totalsRowFunction="sum" dataDxfId="819" totalsRowDxfId="818">
      <calculatedColumnFormula>COUNTA(Maart[[#This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4.xml><?xml version="1.0" encoding="utf-8"?>
<table xmlns="http://schemas.openxmlformats.org/spreadsheetml/2006/main" id="15" name="April" displayName="April" ref="B6:AH12" totalsRowCount="1" headerRowDxfId="800" dataDxfId="799" totalsRowDxfId="798">
  <tableColumns count="33">
    <tableColumn id="1" name="Naam van werknemer" totalsRowFunction="custom" dataDxfId="797" totalsRowDxfId="796" dataCellStyle="Werknemer">
      <totalsRowFormula>MonthName&amp;" totaal"</totalsRowFormula>
    </tableColumn>
    <tableColumn id="2" name="1" totalsRowFunction="count" dataDxfId="795" totalsRowDxfId="794"/>
    <tableColumn id="3" name="2" totalsRowFunction="count" dataDxfId="793" totalsRowDxfId="792"/>
    <tableColumn id="4" name="3" totalsRowFunction="count" dataDxfId="791" totalsRowDxfId="790"/>
    <tableColumn id="5" name="4" totalsRowFunction="count" dataDxfId="789" totalsRowDxfId="788"/>
    <tableColumn id="6" name="5" totalsRowFunction="count" dataDxfId="787" totalsRowDxfId="786"/>
    <tableColumn id="7" name="6" totalsRowFunction="count" dataDxfId="785" totalsRowDxfId="784"/>
    <tableColumn id="8" name="7" totalsRowFunction="count" dataDxfId="783" totalsRowDxfId="782"/>
    <tableColumn id="9" name="8" totalsRowFunction="count" dataDxfId="781" totalsRowDxfId="780"/>
    <tableColumn id="10" name="9" totalsRowFunction="count" dataDxfId="779" totalsRowDxfId="778"/>
    <tableColumn id="11" name="10" totalsRowFunction="count" dataDxfId="777" totalsRowDxfId="776"/>
    <tableColumn id="12" name="11" totalsRowFunction="count" dataDxfId="775" totalsRowDxfId="774"/>
    <tableColumn id="13" name="12" totalsRowFunction="count" dataDxfId="773" totalsRowDxfId="772"/>
    <tableColumn id="14" name="13" totalsRowFunction="count" dataDxfId="771" totalsRowDxfId="770"/>
    <tableColumn id="15" name="14" totalsRowFunction="count" dataDxfId="769" totalsRowDxfId="768"/>
    <tableColumn id="16" name="15" totalsRowFunction="count" dataDxfId="767" totalsRowDxfId="766"/>
    <tableColumn id="17" name="16" totalsRowFunction="count" dataDxfId="765" totalsRowDxfId="764"/>
    <tableColumn id="18" name="17" totalsRowFunction="count" dataDxfId="763" totalsRowDxfId="762"/>
    <tableColumn id="19" name="18" totalsRowFunction="count" dataDxfId="761" totalsRowDxfId="760"/>
    <tableColumn id="20" name="19" totalsRowFunction="count" dataDxfId="759" totalsRowDxfId="758"/>
    <tableColumn id="21" name="20" totalsRowFunction="count" dataDxfId="757" totalsRowDxfId="756"/>
    <tableColumn id="22" name="21" totalsRowFunction="count" dataDxfId="755" totalsRowDxfId="754"/>
    <tableColumn id="23" name="22" totalsRowFunction="count" dataDxfId="753" totalsRowDxfId="752"/>
    <tableColumn id="24" name="23" totalsRowFunction="count" dataDxfId="751" totalsRowDxfId="750"/>
    <tableColumn id="25" name="24" totalsRowFunction="count" dataDxfId="749" totalsRowDxfId="748"/>
    <tableColumn id="26" name="25" totalsRowFunction="count" dataDxfId="747" totalsRowDxfId="746"/>
    <tableColumn id="27" name="26" totalsRowFunction="count" dataDxfId="745" totalsRowDxfId="744"/>
    <tableColumn id="28" name="27" totalsRowFunction="count" dataDxfId="743" totalsRowDxfId="742"/>
    <tableColumn id="29" name="28" totalsRowFunction="count" dataDxfId="741" totalsRowDxfId="740"/>
    <tableColumn id="30" name="29" totalsRowFunction="count" dataDxfId="739" totalsRowDxfId="738"/>
    <tableColumn id="31" name="30" totalsRowFunction="sum" dataDxfId="737" totalsRowDxfId="736"/>
    <tableColumn id="32" name="31" totalsRowFunction="sum" dataDxfId="735" totalsRowDxfId="734"/>
    <tableColumn id="33" name="Totaal aantal dagen" totalsRowFunction="sum" dataDxfId="733" totalsRowDxfId="732">
      <calculatedColumnFormula>COUNTA(April[[#This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5.xml><?xml version="1.0" encoding="utf-8"?>
<table xmlns="http://schemas.openxmlformats.org/spreadsheetml/2006/main" id="16" name="Mei" displayName="Mei" ref="B6:AH12" totalsRowCount="1" headerRowDxfId="714" dataDxfId="713" totalsRowDxfId="712">
  <tableColumns count="33">
    <tableColumn id="1" name="Naam van werknemer" totalsRowFunction="custom" dataDxfId="711" totalsRowDxfId="710" dataCellStyle="Werknemer">
      <totalsRowFormula>MonthName&amp;" totaal"</totalsRowFormula>
    </tableColumn>
    <tableColumn id="2" name="1" totalsRowFunction="count" dataDxfId="709" totalsRowDxfId="708"/>
    <tableColumn id="3" name="2" totalsRowFunction="count" dataDxfId="707" totalsRowDxfId="706"/>
    <tableColumn id="4" name="3" totalsRowFunction="count" dataDxfId="705" totalsRowDxfId="704"/>
    <tableColumn id="5" name="4" totalsRowFunction="count" dataDxfId="703" totalsRowDxfId="702"/>
    <tableColumn id="6" name="5" totalsRowFunction="count" dataDxfId="701" totalsRowDxfId="700"/>
    <tableColumn id="7" name="6" totalsRowFunction="count" dataDxfId="699" totalsRowDxfId="698"/>
    <tableColumn id="8" name="7" totalsRowFunction="count" dataDxfId="697" totalsRowDxfId="696"/>
    <tableColumn id="9" name="8" totalsRowFunction="count" dataDxfId="695" totalsRowDxfId="694"/>
    <tableColumn id="10" name="9" totalsRowFunction="count" dataDxfId="693" totalsRowDxfId="692"/>
    <tableColumn id="11" name="10" totalsRowFunction="count" dataDxfId="691" totalsRowDxfId="690"/>
    <tableColumn id="12" name="11" totalsRowFunction="count" dataDxfId="689" totalsRowDxfId="688"/>
    <tableColumn id="13" name="12" totalsRowFunction="count" dataDxfId="687" totalsRowDxfId="686"/>
    <tableColumn id="14" name="13" totalsRowFunction="count" dataDxfId="685" totalsRowDxfId="684"/>
    <tableColumn id="15" name="14" totalsRowFunction="count" dataDxfId="683" totalsRowDxfId="682"/>
    <tableColumn id="16" name="15" totalsRowFunction="count" dataDxfId="681" totalsRowDxfId="680"/>
    <tableColumn id="17" name="16" totalsRowFunction="count" dataDxfId="679" totalsRowDxfId="678"/>
    <tableColumn id="18" name="17" totalsRowFunction="count" dataDxfId="677" totalsRowDxfId="676"/>
    <tableColumn id="19" name="18" totalsRowFunction="count" dataDxfId="675" totalsRowDxfId="674"/>
    <tableColumn id="20" name="19" totalsRowFunction="count" dataDxfId="673" totalsRowDxfId="672"/>
    <tableColumn id="21" name="20" totalsRowFunction="count" dataDxfId="671" totalsRowDxfId="670"/>
    <tableColumn id="22" name="21" totalsRowFunction="count" dataDxfId="669" totalsRowDxfId="668"/>
    <tableColumn id="23" name="22" totalsRowFunction="count" dataDxfId="667" totalsRowDxfId="666"/>
    <tableColumn id="24" name="23" totalsRowFunction="count" dataDxfId="665" totalsRowDxfId="664"/>
    <tableColumn id="25" name="24" totalsRowFunction="count" dataDxfId="663" totalsRowDxfId="662"/>
    <tableColumn id="26" name="25" totalsRowFunction="count" dataDxfId="661" totalsRowDxfId="660"/>
    <tableColumn id="27" name="26" totalsRowFunction="count" dataDxfId="659" totalsRowDxfId="658"/>
    <tableColumn id="28" name="27" totalsRowFunction="count" dataDxfId="657" totalsRowDxfId="656"/>
    <tableColumn id="29" name="28" totalsRowFunction="count" dataDxfId="655" totalsRowDxfId="654"/>
    <tableColumn id="30" name="29" totalsRowFunction="count" dataDxfId="653" totalsRowDxfId="652"/>
    <tableColumn id="31" name="30" totalsRowFunction="sum" dataDxfId="651" totalsRowDxfId="650"/>
    <tableColumn id="32" name="31" totalsRowFunction="sum" dataDxfId="649" totalsRowDxfId="648"/>
    <tableColumn id="33" name="Totaal aantal dagen" totalsRowFunction="sum" dataDxfId="647" totalsRowDxfId="646">
      <calculatedColumnFormula>COUNTA(Mei[[#This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6.xml><?xml version="1.0" encoding="utf-8"?>
<table xmlns="http://schemas.openxmlformats.org/spreadsheetml/2006/main" id="17" name="Juni" displayName="Juni" ref="B6:AH12" totalsRowCount="1" headerRowDxfId="628" dataDxfId="627" totalsRowDxfId="626">
  <tableColumns count="33">
    <tableColumn id="1" name="Naam van werknemer" totalsRowFunction="custom" dataDxfId="625" totalsRowDxfId="624" dataCellStyle="Werknemer">
      <totalsRowFormula>MonthName&amp;" totaal"</totalsRowFormula>
    </tableColumn>
    <tableColumn id="2" name="1" totalsRowFunction="count" dataDxfId="623" totalsRowDxfId="622"/>
    <tableColumn id="3" name="2" totalsRowFunction="count" dataDxfId="621" totalsRowDxfId="620"/>
    <tableColumn id="4" name="3" totalsRowFunction="count" dataDxfId="619" totalsRowDxfId="618"/>
    <tableColumn id="5" name="4" totalsRowFunction="count" dataDxfId="617" totalsRowDxfId="616"/>
    <tableColumn id="6" name="5" totalsRowFunction="count" dataDxfId="615" totalsRowDxfId="614"/>
    <tableColumn id="7" name="6" totalsRowFunction="count" dataDxfId="613" totalsRowDxfId="612"/>
    <tableColumn id="8" name="7" totalsRowFunction="count" dataDxfId="611" totalsRowDxfId="610"/>
    <tableColumn id="9" name="8" totalsRowFunction="count" dataDxfId="609" totalsRowDxfId="608"/>
    <tableColumn id="10" name="9" totalsRowFunction="count" dataDxfId="607" totalsRowDxfId="606"/>
    <tableColumn id="11" name="10" totalsRowFunction="count" dataDxfId="605" totalsRowDxfId="604"/>
    <tableColumn id="12" name="11" totalsRowFunction="count" dataDxfId="603" totalsRowDxfId="602"/>
    <tableColumn id="13" name="12" totalsRowFunction="count" dataDxfId="601" totalsRowDxfId="600"/>
    <tableColumn id="14" name="13" totalsRowFunction="count" dataDxfId="599" totalsRowDxfId="598"/>
    <tableColumn id="15" name="14" totalsRowFunction="count" dataDxfId="597" totalsRowDxfId="596"/>
    <tableColumn id="16" name="15" totalsRowFunction="count" dataDxfId="595" totalsRowDxfId="594"/>
    <tableColumn id="17" name="16" totalsRowFunction="count" dataDxfId="593" totalsRowDxfId="592"/>
    <tableColumn id="18" name="17" totalsRowFunction="count" dataDxfId="591" totalsRowDxfId="590"/>
    <tableColumn id="19" name="18" totalsRowFunction="count" dataDxfId="589" totalsRowDxfId="588"/>
    <tableColumn id="20" name="19" totalsRowFunction="count" dataDxfId="587" totalsRowDxfId="586"/>
    <tableColumn id="21" name="20" totalsRowFunction="count" dataDxfId="585" totalsRowDxfId="584"/>
    <tableColumn id="22" name="21" totalsRowFunction="count" dataDxfId="583" totalsRowDxfId="582"/>
    <tableColumn id="23" name="22" totalsRowFunction="count" dataDxfId="581" totalsRowDxfId="580"/>
    <tableColumn id="24" name="23" totalsRowFunction="count" dataDxfId="579" totalsRowDxfId="578"/>
    <tableColumn id="25" name="24" totalsRowFunction="count" dataDxfId="577" totalsRowDxfId="576"/>
    <tableColumn id="26" name="25" totalsRowFunction="count" dataDxfId="575" totalsRowDxfId="574"/>
    <tableColumn id="27" name="26" totalsRowFunction="count" dataDxfId="573" totalsRowDxfId="572"/>
    <tableColumn id="28" name="27" totalsRowFunction="count" dataDxfId="571" totalsRowDxfId="570"/>
    <tableColumn id="29" name="28" totalsRowFunction="count" dataDxfId="569" totalsRowDxfId="568"/>
    <tableColumn id="30" name="29" totalsRowFunction="count" dataDxfId="567" totalsRowDxfId="566"/>
    <tableColumn id="31" name="30" totalsRowFunction="sum" dataDxfId="565" totalsRowDxfId="564"/>
    <tableColumn id="32" name="31" totalsRowFunction="sum" dataDxfId="563" totalsRowDxfId="562"/>
    <tableColumn id="33" name="Totaal aantal dagen" totalsRowFunction="sum" dataDxfId="561" totalsRowDxfId="560">
      <calculatedColumnFormula>COUNTA(Juni[[#This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7.xml><?xml version="1.0" encoding="utf-8"?>
<table xmlns="http://schemas.openxmlformats.org/spreadsheetml/2006/main" id="18" name="Juli" displayName="Juli" ref="B6:AH12" totalsRowCount="1" headerRowDxfId="542" dataDxfId="541" totalsRowDxfId="540">
  <tableColumns count="33">
    <tableColumn id="1" name="Naam van werknemer" totalsRowFunction="custom" dataDxfId="539" totalsRowDxfId="538" dataCellStyle="Werknemer">
      <totalsRowFormula>MonthName&amp;" totaal"</totalsRowFormula>
    </tableColumn>
    <tableColumn id="2" name="1" totalsRowFunction="count" dataDxfId="537" totalsRowDxfId="536"/>
    <tableColumn id="3" name="2" totalsRowFunction="count" dataDxfId="535" totalsRowDxfId="534"/>
    <tableColumn id="4" name="3" totalsRowFunction="count" dataDxfId="533" totalsRowDxfId="532"/>
    <tableColumn id="5" name="4" totalsRowFunction="count" dataDxfId="531" totalsRowDxfId="530"/>
    <tableColumn id="6" name="5" totalsRowFunction="count" dataDxfId="529" totalsRowDxfId="528"/>
    <tableColumn id="7" name="6" totalsRowFunction="count" dataDxfId="527" totalsRowDxfId="526"/>
    <tableColumn id="8" name="7" totalsRowFunction="count" dataDxfId="525" totalsRowDxfId="524"/>
    <tableColumn id="9" name="8" totalsRowFunction="count" dataDxfId="523" totalsRowDxfId="522"/>
    <tableColumn id="10" name="9" totalsRowFunction="count" dataDxfId="521" totalsRowDxfId="520"/>
    <tableColumn id="11" name="10" totalsRowFunction="count" dataDxfId="519" totalsRowDxfId="518"/>
    <tableColumn id="12" name="11" totalsRowFunction="count" dataDxfId="517" totalsRowDxfId="516"/>
    <tableColumn id="13" name="12" totalsRowFunction="count" dataDxfId="515" totalsRowDxfId="514"/>
    <tableColumn id="14" name="13" totalsRowFunction="count" dataDxfId="513" totalsRowDxfId="512"/>
    <tableColumn id="15" name="14" totalsRowFunction="count" dataDxfId="511" totalsRowDxfId="510"/>
    <tableColumn id="16" name="15" totalsRowFunction="count" dataDxfId="509" totalsRowDxfId="508"/>
    <tableColumn id="17" name="16" totalsRowFunction="count" dataDxfId="507" totalsRowDxfId="506"/>
    <tableColumn id="18" name="17" totalsRowFunction="count" dataDxfId="505" totalsRowDxfId="504"/>
    <tableColumn id="19" name="18" totalsRowFunction="count" dataDxfId="503" totalsRowDxfId="502"/>
    <tableColumn id="20" name="19" totalsRowFunction="count" dataDxfId="501" totalsRowDxfId="500"/>
    <tableColumn id="21" name="20" totalsRowFunction="count" dataDxfId="499" totalsRowDxfId="498"/>
    <tableColumn id="22" name="21" totalsRowFunction="count" dataDxfId="497" totalsRowDxfId="496"/>
    <tableColumn id="23" name="22" totalsRowFunction="count" dataDxfId="495" totalsRowDxfId="494"/>
    <tableColumn id="24" name="23" totalsRowFunction="count" dataDxfId="493" totalsRowDxfId="492"/>
    <tableColumn id="25" name="24" totalsRowFunction="count" dataDxfId="491" totalsRowDxfId="490"/>
    <tableColumn id="26" name="25" totalsRowFunction="count" dataDxfId="489" totalsRowDxfId="488"/>
    <tableColumn id="27" name="26" totalsRowFunction="count" dataDxfId="487" totalsRowDxfId="486"/>
    <tableColumn id="28" name="27" totalsRowFunction="count" dataDxfId="485" totalsRowDxfId="484"/>
    <tableColumn id="29" name="28" totalsRowFunction="count" dataDxfId="483" totalsRowDxfId="482"/>
    <tableColumn id="30" name="29" totalsRowFunction="count" dataDxfId="481" totalsRowDxfId="480"/>
    <tableColumn id="31" name="30" totalsRowFunction="sum" dataDxfId="479" totalsRowDxfId="478"/>
    <tableColumn id="32" name="31" totalsRowFunction="sum" dataDxfId="477" totalsRowDxfId="476"/>
    <tableColumn id="33" name="Totaal aantal dagen" totalsRowFunction="sum" dataDxfId="475" totalsRowDxfId="474">
      <calculatedColumnFormula>COUNTA(Juli[[#This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8.xml><?xml version="1.0" encoding="utf-8"?>
<table xmlns="http://schemas.openxmlformats.org/spreadsheetml/2006/main" id="19" name="Augustus" displayName="Augustus" ref="B6:AH12" totalsRowCount="1" headerRowDxfId="456" dataDxfId="455" totalsRowDxfId="454">
  <tableColumns count="33">
    <tableColumn id="1" name="Naam van werknemer" totalsRowFunction="custom" dataDxfId="453" totalsRowDxfId="452" dataCellStyle="Werknemer">
      <totalsRowFormula>MonthName&amp;" totaal"</totalsRowFormula>
    </tableColumn>
    <tableColumn id="2" name="1" totalsRowFunction="count" dataDxfId="451" totalsRowDxfId="450"/>
    <tableColumn id="3" name="2" totalsRowFunction="count" dataDxfId="449" totalsRowDxfId="448"/>
    <tableColumn id="4" name="3" totalsRowFunction="count" dataDxfId="447" totalsRowDxfId="446"/>
    <tableColumn id="5" name="4" totalsRowFunction="count" dataDxfId="445" totalsRowDxfId="444"/>
    <tableColumn id="6" name="5" totalsRowFunction="count" dataDxfId="443" totalsRowDxfId="442"/>
    <tableColumn id="7" name="6" totalsRowFunction="count" dataDxfId="441" totalsRowDxfId="440"/>
    <tableColumn id="8" name="7" totalsRowFunction="count" dataDxfId="439" totalsRowDxfId="438"/>
    <tableColumn id="9" name="8" totalsRowFunction="count" dataDxfId="437" totalsRowDxfId="436"/>
    <tableColumn id="10" name="9" totalsRowFunction="count" dataDxfId="435" totalsRowDxfId="434"/>
    <tableColumn id="11" name="10" totalsRowFunction="count" dataDxfId="433" totalsRowDxfId="432"/>
    <tableColumn id="12" name="11" totalsRowFunction="count" dataDxfId="431" totalsRowDxfId="430"/>
    <tableColumn id="13" name="12" totalsRowFunction="count" dataDxfId="429" totalsRowDxfId="428"/>
    <tableColumn id="14" name="13" totalsRowFunction="count" dataDxfId="427" totalsRowDxfId="426"/>
    <tableColumn id="15" name="14" totalsRowFunction="count" dataDxfId="425" totalsRowDxfId="424"/>
    <tableColumn id="16" name="15" totalsRowFunction="count" dataDxfId="423" totalsRowDxfId="422"/>
    <tableColumn id="17" name="16" totalsRowFunction="count" dataDxfId="421" totalsRowDxfId="420"/>
    <tableColumn id="18" name="17" totalsRowFunction="count" dataDxfId="419" totalsRowDxfId="418"/>
    <tableColumn id="19" name="18" totalsRowFunction="count" dataDxfId="417" totalsRowDxfId="416"/>
    <tableColumn id="20" name="19" totalsRowFunction="count" dataDxfId="415" totalsRowDxfId="414"/>
    <tableColumn id="21" name="20" totalsRowFunction="count" dataDxfId="413" totalsRowDxfId="412"/>
    <tableColumn id="22" name="21" totalsRowFunction="count" dataDxfId="411" totalsRowDxfId="410"/>
    <tableColumn id="23" name="22" totalsRowFunction="count" dataDxfId="409" totalsRowDxfId="408"/>
    <tableColumn id="24" name="23" totalsRowFunction="count" dataDxfId="407" totalsRowDxfId="406"/>
    <tableColumn id="25" name="24" totalsRowFunction="count" dataDxfId="405" totalsRowDxfId="404"/>
    <tableColumn id="26" name="25" totalsRowFunction="count" dataDxfId="403" totalsRowDxfId="402"/>
    <tableColumn id="27" name="26" totalsRowFunction="count" dataDxfId="401" totalsRowDxfId="400"/>
    <tableColumn id="28" name="27" totalsRowFunction="count" dataDxfId="399" totalsRowDxfId="398"/>
    <tableColumn id="29" name="28" totalsRowFunction="count" dataDxfId="397" totalsRowDxfId="396"/>
    <tableColumn id="30" name="29" totalsRowFunction="count" dataDxfId="395" totalsRowDxfId="394"/>
    <tableColumn id="31" name="30" totalsRowFunction="sum" dataDxfId="393" totalsRowDxfId="392"/>
    <tableColumn id="32" name="31" totalsRowFunction="sum" dataDxfId="391" totalsRowDxfId="390"/>
    <tableColumn id="33" name="Totaal aantal dagen" totalsRowFunction="sum" dataDxfId="389" totalsRowDxfId="388">
      <calculatedColumnFormula>COUNTA(Augustus[[#This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9.xml><?xml version="1.0" encoding="utf-8"?>
<table xmlns="http://schemas.openxmlformats.org/spreadsheetml/2006/main" id="20" name="September" displayName="September" ref="B6:AH12" totalsRowCount="1" headerRowDxfId="370" dataDxfId="369" totalsRowDxfId="368">
  <tableColumns count="33">
    <tableColumn id="1" name="Naam van werknemer" totalsRowFunction="custom" dataDxfId="367" totalsRowDxfId="366" dataCellStyle="Werknemer">
      <totalsRowFormula>MonthName&amp;" totaal"</totalsRowFormula>
    </tableColumn>
    <tableColumn id="2" name="1" totalsRowFunction="count" dataDxfId="365" totalsRowDxfId="364"/>
    <tableColumn id="3" name="2" totalsRowFunction="count" dataDxfId="363" totalsRowDxfId="362"/>
    <tableColumn id="4" name="3" totalsRowFunction="count" dataDxfId="361" totalsRowDxfId="360"/>
    <tableColumn id="5" name="4" totalsRowFunction="count" dataDxfId="359" totalsRowDxfId="358"/>
    <tableColumn id="6" name="5" totalsRowFunction="count" dataDxfId="357" totalsRowDxfId="356"/>
    <tableColumn id="7" name="6" totalsRowFunction="count" dataDxfId="355" totalsRowDxfId="354"/>
    <tableColumn id="8" name="7" totalsRowFunction="count" dataDxfId="353" totalsRowDxfId="352"/>
    <tableColumn id="9" name="8" totalsRowFunction="count" dataDxfId="351" totalsRowDxfId="350"/>
    <tableColumn id="10" name="9" totalsRowFunction="count" dataDxfId="349" totalsRowDxfId="348"/>
    <tableColumn id="11" name="10" totalsRowFunction="count" dataDxfId="347" totalsRowDxfId="346"/>
    <tableColumn id="12" name="11" totalsRowFunction="count" dataDxfId="345" totalsRowDxfId="344"/>
    <tableColumn id="13" name="12" totalsRowFunction="count" dataDxfId="343" totalsRowDxfId="342"/>
    <tableColumn id="14" name="13" totalsRowFunction="count" dataDxfId="341" totalsRowDxfId="340"/>
    <tableColumn id="15" name="14" totalsRowFunction="count" dataDxfId="339" totalsRowDxfId="338"/>
    <tableColumn id="16" name="15" totalsRowFunction="count" dataDxfId="337" totalsRowDxfId="336"/>
    <tableColumn id="17" name="16" totalsRowFunction="count" dataDxfId="335" totalsRowDxfId="334"/>
    <tableColumn id="18" name="17" totalsRowFunction="count" dataDxfId="333" totalsRowDxfId="332"/>
    <tableColumn id="19" name="18" totalsRowFunction="count" dataDxfId="331" totalsRowDxfId="330"/>
    <tableColumn id="20" name="19" totalsRowFunction="count" dataDxfId="329" totalsRowDxfId="328"/>
    <tableColumn id="21" name="20" totalsRowFunction="count" dataDxfId="327" totalsRowDxfId="326"/>
    <tableColumn id="22" name="21" totalsRowFunction="count" dataDxfId="325" totalsRowDxfId="324"/>
    <tableColumn id="23" name="22" totalsRowFunction="count" dataDxfId="323" totalsRowDxfId="322"/>
    <tableColumn id="24" name="23" totalsRowFunction="count" dataDxfId="321" totalsRowDxfId="320"/>
    <tableColumn id="25" name="24" totalsRowFunction="count" dataDxfId="319" totalsRowDxfId="318"/>
    <tableColumn id="26" name="25" totalsRowFunction="count" dataDxfId="317" totalsRowDxfId="316"/>
    <tableColumn id="27" name="26" totalsRowFunction="count" dataDxfId="315" totalsRowDxfId="314"/>
    <tableColumn id="28" name="27" totalsRowFunction="count" dataDxfId="313" totalsRowDxfId="312"/>
    <tableColumn id="29" name="28" totalsRowFunction="count" dataDxfId="311" totalsRowDxfId="310"/>
    <tableColumn id="30" name="29" totalsRowFunction="count" dataDxfId="309" totalsRowDxfId="308"/>
    <tableColumn id="31" name="30" totalsRowFunction="sum" dataDxfId="307" totalsRowDxfId="306"/>
    <tableColumn id="32" name="31" totalsRowFunction="sum" dataDxfId="305" totalsRowDxfId="304"/>
    <tableColumn id="33" name="Totaal aantal dagen" totalsRowFunction="sum" dataDxfId="303" totalsRowDxfId="302">
      <calculatedColumnFormula>COUNTA(September[[#This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heme/theme1.xml><?xml version="1.0" encoding="utf-8"?>
<a:theme xmlns:a="http://schemas.openxmlformats.org/drawingml/2006/main" name="Office Theme">
  <a:themeElements>
    <a:clrScheme name="Employee Absense Schedule">
      <a:dk1>
        <a:sysClr val="windowText" lastClr="000000"/>
      </a:dk1>
      <a:lt1>
        <a:sysClr val="window" lastClr="FFFFFF"/>
      </a:lt1>
      <a:dk2>
        <a:srgbClr val="4B180E"/>
      </a:dk2>
      <a:lt2>
        <a:srgbClr val="F1F2E8"/>
      </a:lt2>
      <a:accent1>
        <a:srgbClr val="A53423"/>
      </a:accent1>
      <a:accent2>
        <a:srgbClr val="E68130"/>
      </a:accent2>
      <a:accent3>
        <a:srgbClr val="9BB05D"/>
      </a:accent3>
      <a:accent4>
        <a:srgbClr val="CC9900"/>
      </a:accent4>
      <a:accent5>
        <a:srgbClr val="4F66AF"/>
      </a:accent5>
      <a:accent6>
        <a:srgbClr val="D0D2D3"/>
      </a:accent6>
      <a:hlink>
        <a:srgbClr val="4F66AF"/>
      </a:hlink>
      <a:folHlink>
        <a:srgbClr val="6B9AC6"/>
      </a:folHlink>
    </a:clrScheme>
    <a:fontScheme name="Employee Absence Schedul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tabColor theme="2" tint="-0.89999084444715716"/>
    <pageSetUpPr fitToPage="1"/>
  </sheetPr>
  <dimension ref="A1:AI17"/>
  <sheetViews>
    <sheetView showGridLines="0" tabSelected="1" zoomScale="90" zoomScaleNormal="90" workbookViewId="0">
      <selection activeCell="C4" sqref="C4:AG4"/>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0.7109375" customWidth="1"/>
  </cols>
  <sheetData>
    <row r="1" spans="1:35" ht="50.1" customHeight="1" x14ac:dyDescent="0.25">
      <c r="A1" s="12"/>
      <c r="B1" s="9" t="s">
        <v>0</v>
      </c>
    </row>
    <row r="2" spans="1:35"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c r="X2" s="21"/>
      <c r="Y2" s="22"/>
      <c r="Z2" s="22"/>
      <c r="AA2" s="22"/>
      <c r="AB2" s="26"/>
      <c r="AC2" s="48"/>
      <c r="AD2" s="48"/>
      <c r="AE2" s="48"/>
    </row>
    <row r="3" spans="1:35" ht="15" customHeight="1" x14ac:dyDescent="0.25">
      <c r="AH3" s="13" t="s">
        <v>38</v>
      </c>
    </row>
    <row r="4" spans="1:35" ht="30" customHeight="1" thickBot="1" x14ac:dyDescent="0.3">
      <c r="B4" s="31" t="s">
        <v>1</v>
      </c>
      <c r="C4" s="47" t="s">
        <v>4</v>
      </c>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31">
        <v>2020</v>
      </c>
      <c r="AI4" s="32"/>
    </row>
    <row r="5" spans="1:35" ht="25.5" customHeight="1" x14ac:dyDescent="0.25">
      <c r="B5" s="30"/>
      <c r="C5" s="56">
        <f>DATE(CalendarYear,1,1)</f>
        <v>43831</v>
      </c>
      <c r="D5" s="55">
        <f>C5+1</f>
        <v>43832</v>
      </c>
      <c r="E5" s="55">
        <f t="shared" ref="E5:AG5" si="0">D5+1</f>
        <v>43833</v>
      </c>
      <c r="F5" s="55">
        <f t="shared" si="0"/>
        <v>43834</v>
      </c>
      <c r="G5" s="55">
        <f t="shared" si="0"/>
        <v>43835</v>
      </c>
      <c r="H5" s="55">
        <f t="shared" si="0"/>
        <v>43836</v>
      </c>
      <c r="I5" s="56">
        <f t="shared" si="0"/>
        <v>43837</v>
      </c>
      <c r="J5" s="56">
        <f t="shared" si="0"/>
        <v>43838</v>
      </c>
      <c r="K5" s="55">
        <f t="shared" si="0"/>
        <v>43839</v>
      </c>
      <c r="L5" s="55">
        <f t="shared" si="0"/>
        <v>43840</v>
      </c>
      <c r="M5" s="55">
        <f t="shared" si="0"/>
        <v>43841</v>
      </c>
      <c r="N5" s="55">
        <f t="shared" si="0"/>
        <v>43842</v>
      </c>
      <c r="O5" s="55">
        <f t="shared" si="0"/>
        <v>43843</v>
      </c>
      <c r="P5" s="56">
        <f t="shared" si="0"/>
        <v>43844</v>
      </c>
      <c r="Q5" s="56">
        <f t="shared" si="0"/>
        <v>43845</v>
      </c>
      <c r="R5" s="55">
        <f t="shared" si="0"/>
        <v>43846</v>
      </c>
      <c r="S5" s="55">
        <f t="shared" si="0"/>
        <v>43847</v>
      </c>
      <c r="T5" s="55">
        <f t="shared" si="0"/>
        <v>43848</v>
      </c>
      <c r="U5" s="55">
        <f t="shared" si="0"/>
        <v>43849</v>
      </c>
      <c r="V5" s="55">
        <f t="shared" si="0"/>
        <v>43850</v>
      </c>
      <c r="W5" s="56">
        <f t="shared" si="0"/>
        <v>43851</v>
      </c>
      <c r="X5" s="56">
        <f t="shared" si="0"/>
        <v>43852</v>
      </c>
      <c r="Y5" s="55">
        <f t="shared" si="0"/>
        <v>43853</v>
      </c>
      <c r="Z5" s="55">
        <f t="shared" si="0"/>
        <v>43854</v>
      </c>
      <c r="AA5" s="55">
        <f t="shared" si="0"/>
        <v>43855</v>
      </c>
      <c r="AB5" s="55">
        <f t="shared" si="0"/>
        <v>43856</v>
      </c>
      <c r="AC5" s="55">
        <f t="shared" si="0"/>
        <v>43857</v>
      </c>
      <c r="AD5" s="56">
        <f t="shared" si="0"/>
        <v>43858</v>
      </c>
      <c r="AE5" s="56">
        <f t="shared" si="0"/>
        <v>43859</v>
      </c>
      <c r="AF5" s="55">
        <f t="shared" si="0"/>
        <v>43860</v>
      </c>
      <c r="AG5" s="55">
        <f t="shared" si="0"/>
        <v>43861</v>
      </c>
      <c r="AH5" s="34" t="s">
        <v>66</v>
      </c>
      <c r="AI5" s="36" t="s">
        <v>67</v>
      </c>
    </row>
    <row r="6" spans="1:35" ht="25.5" customHeight="1" thickBot="1" x14ac:dyDescent="0.3">
      <c r="B6" s="41" t="s">
        <v>2</v>
      </c>
      <c r="C6" s="57" t="s">
        <v>5</v>
      </c>
      <c r="D6" s="40" t="s">
        <v>6</v>
      </c>
      <c r="E6" s="40" t="s">
        <v>7</v>
      </c>
      <c r="F6" s="40" t="s">
        <v>8</v>
      </c>
      <c r="G6" s="40" t="s">
        <v>10</v>
      </c>
      <c r="H6" s="40" t="s">
        <v>11</v>
      </c>
      <c r="I6" s="57" t="s">
        <v>12</v>
      </c>
      <c r="J6" s="57" t="s">
        <v>13</v>
      </c>
      <c r="K6" s="40" t="s">
        <v>14</v>
      </c>
      <c r="L6" s="40" t="s">
        <v>16</v>
      </c>
      <c r="M6" s="40" t="s">
        <v>17</v>
      </c>
      <c r="N6" s="40" t="s">
        <v>18</v>
      </c>
      <c r="O6" s="40" t="s">
        <v>19</v>
      </c>
      <c r="P6" s="57" t="s">
        <v>20</v>
      </c>
      <c r="Q6" s="57" t="s">
        <v>21</v>
      </c>
      <c r="R6" s="40" t="s">
        <v>22</v>
      </c>
      <c r="S6" s="40" t="s">
        <v>23</v>
      </c>
      <c r="T6" s="40" t="s">
        <v>24</v>
      </c>
      <c r="U6" s="40" t="s">
        <v>25</v>
      </c>
      <c r="V6" s="40" t="s">
        <v>26</v>
      </c>
      <c r="W6" s="57" t="s">
        <v>27</v>
      </c>
      <c r="X6" s="57" t="s">
        <v>28</v>
      </c>
      <c r="Y6" s="40" t="s">
        <v>29</v>
      </c>
      <c r="Z6" s="40" t="s">
        <v>30</v>
      </c>
      <c r="AA6" s="40" t="s">
        <v>31</v>
      </c>
      <c r="AB6" s="40" t="s">
        <v>32</v>
      </c>
      <c r="AC6" s="40" t="s">
        <v>33</v>
      </c>
      <c r="AD6" s="57" t="s">
        <v>34</v>
      </c>
      <c r="AE6" s="57" t="s">
        <v>35</v>
      </c>
      <c r="AF6" s="40" t="s">
        <v>36</v>
      </c>
      <c r="AG6" s="40" t="s">
        <v>37</v>
      </c>
      <c r="AH6" s="35" t="s">
        <v>69</v>
      </c>
      <c r="AI6" s="37" t="s">
        <v>68</v>
      </c>
    </row>
    <row r="7" spans="1:35" ht="30" customHeight="1" x14ac:dyDescent="0.25">
      <c r="B7" s="33" t="s">
        <v>54</v>
      </c>
      <c r="C7" s="39"/>
      <c r="D7" s="39" t="s">
        <v>65</v>
      </c>
      <c r="E7" s="39" t="s">
        <v>62</v>
      </c>
      <c r="F7" s="39">
        <v>0.5</v>
      </c>
      <c r="G7" s="39" t="s">
        <v>9</v>
      </c>
      <c r="H7" s="39" t="s">
        <v>9</v>
      </c>
      <c r="I7" s="39" t="s">
        <v>9</v>
      </c>
      <c r="J7" s="39" t="s">
        <v>9</v>
      </c>
      <c r="K7" s="39" t="s">
        <v>70</v>
      </c>
      <c r="L7" s="39">
        <v>0.5</v>
      </c>
      <c r="M7" s="39"/>
      <c r="N7" s="39"/>
      <c r="O7" s="39"/>
      <c r="P7" s="39"/>
      <c r="Q7" s="39"/>
      <c r="R7" s="39"/>
      <c r="S7" s="39"/>
      <c r="T7" s="39"/>
      <c r="U7" s="39"/>
      <c r="V7" s="39"/>
      <c r="W7" s="39"/>
      <c r="X7" s="39"/>
      <c r="Y7" s="39"/>
      <c r="Z7" s="39"/>
      <c r="AA7" s="39"/>
      <c r="AB7" s="39"/>
      <c r="AC7" s="39"/>
      <c r="AD7" s="39"/>
      <c r="AE7" s="39"/>
      <c r="AF7" s="39"/>
      <c r="AG7" s="39"/>
      <c r="AH7" s="45">
        <f>COUNTA(Januari!$C7:$AG7)-COUNT(Januari!$C7:$AG7)+(COUNTIF(Januari!$C7:$AG7,"&lt;1")/2)-COUNTIF(Januari!$C7:$AG7,"W")-COUNTIF(Januari!$C7:$AG7,"Z")-COUNTIF(Januari!$C7:$AG7,"R")</f>
        <v>1</v>
      </c>
      <c r="AI7" s="42">
        <f t="shared" ref="AI7:AI11" si="1">COUNTIF(C7:AG7,"*Z*")</f>
        <v>4</v>
      </c>
    </row>
    <row r="8" spans="1:35" ht="30" customHeight="1" x14ac:dyDescent="0.25">
      <c r="B8" s="33" t="s">
        <v>55</v>
      </c>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44">
        <f>COUNTA(Januari!$C8:$AG8)-COUNT(Januari!$C8:$AG8)+(COUNTIF(Januari!$C8:$AG8,"&lt;1")/2)-COUNTIF(Januari!$C8:$AG8,"W")-COUNTIF(Januari!$C8:$AG8,"Z")-COUNTIF(Januari!$C8:$AG8,"R")</f>
        <v>0</v>
      </c>
      <c r="AI8" s="38">
        <f t="shared" si="1"/>
        <v>0</v>
      </c>
    </row>
    <row r="9" spans="1:35" ht="30" customHeight="1" x14ac:dyDescent="0.25">
      <c r="B9" s="33" t="s">
        <v>56</v>
      </c>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44">
        <f>COUNTA(Januari!$C9:$AG9)-COUNT(Januari!$C9:$AG9)+(COUNTIF(Januari!$C9:$AG9,"&lt;1")/2)-COUNTIF(Januari!$C9:$AG9,"W")-COUNTIF(Januari!$C9:$AG9,"Z")-COUNTIF(Januari!$C9:$AG9,"R")</f>
        <v>0</v>
      </c>
      <c r="AI9" s="38">
        <f t="shared" si="1"/>
        <v>0</v>
      </c>
    </row>
    <row r="10" spans="1:35" ht="30" customHeight="1" x14ac:dyDescent="0.25">
      <c r="B10" s="33" t="s">
        <v>57</v>
      </c>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44">
        <f>COUNTA(Januari!$C10:$AG10)-COUNT(Januari!$C10:$AG10)+(COUNTIF(Januari!$C10:$AG10,"&lt;1")/2)-COUNTIF(Januari!$C10:$AG10,"W")-COUNTIF(Januari!$C10:$AG10,"Z")-COUNTIF(Januari!$C10:$AG10,"R")</f>
        <v>0</v>
      </c>
      <c r="AI10" s="38">
        <f t="shared" si="1"/>
        <v>0</v>
      </c>
    </row>
    <row r="11" spans="1:35" ht="30" customHeight="1" thickBot="1" x14ac:dyDescent="0.3">
      <c r="B11" s="33" t="s">
        <v>58</v>
      </c>
      <c r="C11" s="39"/>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46">
        <f>COUNTA(Januari!$C11:$AG11)-COUNT(Januari!$C11:$AG11)+(COUNTIF(Januari!$C11:$AG11,"&lt;1")/2)-COUNTIF(Januari!$C11:$AG11,"W")-COUNTIF(Januari!$C11:$AG11,"Z")-COUNTIF(Januari!$C11:$AG11,"R")</f>
        <v>0</v>
      </c>
      <c r="AI11" s="43">
        <f t="shared" si="1"/>
        <v>0</v>
      </c>
    </row>
    <row r="17" spans="22:22" ht="30" customHeight="1" x14ac:dyDescent="0.25">
      <c r="V17" s="19"/>
    </row>
  </sheetData>
  <mergeCells count="5">
    <mergeCell ref="C4:AG4"/>
    <mergeCell ref="AC2:AE2"/>
    <mergeCell ref="D2:E2"/>
    <mergeCell ref="G2:J2"/>
    <mergeCell ref="R2:U2"/>
  </mergeCells>
  <conditionalFormatting sqref="C7:AG11">
    <cfRule type="containsText" dxfId="34" priority="32" operator="containsText" text="V">
      <formula>NOT(ISERROR(SEARCH("V",C7)))</formula>
    </cfRule>
    <cfRule type="containsText" dxfId="33" priority="33" operator="containsText" text="1/2">
      <formula>NOT(ISERROR(SEARCH("1/2",C7)))</formula>
    </cfRule>
    <cfRule type="containsText" dxfId="32" priority="34" operator="containsText" text="V">
      <formula>NOT(ISERROR(SEARCH("V",C7)))</formula>
    </cfRule>
    <cfRule type="containsText" dxfId="31" priority="35" operator="containsText" text="V">
      <formula>NOT(ISERROR(SEARCH("V",C7)))</formula>
    </cfRule>
    <cfRule type="containsText" dxfId="30" priority="36" operator="containsText" text="V">
      <formula>NOT(ISERROR(SEARCH("V",C7)))</formula>
    </cfRule>
    <cfRule type="colorScale" priority="37">
      <colorScale>
        <cfvo type="min"/>
        <cfvo type="max"/>
        <color rgb="FF63BE7B"/>
        <color rgb="FFFCFCFF"/>
      </colorScale>
    </cfRule>
    <cfRule type="containsText" dxfId="29" priority="40" operator="containsText" text="Z">
      <formula>NOT(ISERROR(SEARCH("Z",C7)))</formula>
    </cfRule>
    <cfRule type="containsText" dxfId="28" priority="43" operator="containsText" text="V">
      <formula>NOT(ISERROR(SEARCH("V",C7)))</formula>
    </cfRule>
    <cfRule type="containsText" dxfId="27" priority="44" operator="containsText" text="V">
      <formula>NOT(ISERROR(SEARCH("V",C7)))</formula>
    </cfRule>
    <cfRule type="containsText" dxfId="26" priority="45" operator="containsText" text="v">
      <formula>NOT(ISERROR(SEARCH("v",C7)))</formula>
    </cfRule>
    <cfRule type="expression" priority="47" stopIfTrue="1">
      <formula>C7=""</formula>
    </cfRule>
    <cfRule type="expression" dxfId="25" priority="52" stopIfTrue="1">
      <formula>C7=KeyCustom2</formula>
    </cfRule>
    <cfRule type="expression" dxfId="24" priority="53" stopIfTrue="1">
      <formula>C7=KeyCustom1</formula>
    </cfRule>
    <cfRule type="expression" dxfId="23" priority="54" stopIfTrue="1">
      <formula>C7=KeySick</formula>
    </cfRule>
    <cfRule type="expression" dxfId="22" priority="55" stopIfTrue="1">
      <formula>C7=KeyPersonal</formula>
    </cfRule>
    <cfRule type="expression" dxfId="21" priority="56" stopIfTrue="1">
      <formula>C7=KeyVacation</formula>
    </cfRule>
  </conditionalFormatting>
  <conditionalFormatting sqref="AH7:AH11">
    <cfRule type="dataBar" priority="214">
      <dataBar>
        <cfvo type="num" val="0"/>
        <cfvo type="num" val="31"/>
        <color theme="2" tint="-0.249977111117893"/>
      </dataBar>
      <extLst>
        <ext xmlns:x14="http://schemas.microsoft.com/office/spreadsheetml/2009/9/main" uri="{B025F937-C7B1-47D3-B67F-A62EFF666E3E}">
          <x14:id>{ECCE2C3C-1B01-4700-B60E-DAAAB19A9C1A}</x14:id>
        </ext>
      </extLst>
    </cfRule>
  </conditionalFormatting>
  <conditionalFormatting sqref="C2">
    <cfRule type="containsText" dxfId="20" priority="14" operator="containsText" text="V">
      <formula>NOT(ISERROR(SEARCH("V",C2)))</formula>
    </cfRule>
    <cfRule type="containsText" dxfId="19" priority="15" operator="containsText" text="V">
      <formula>NOT(ISERROR(SEARCH("V",C2)))</formula>
    </cfRule>
    <cfRule type="containsText" dxfId="18" priority="31" operator="containsText" text="V">
      <formula>NOT(ISERROR(SEARCH("V",C2)))</formula>
    </cfRule>
    <cfRule type="containsText" dxfId="17" priority="41" operator="containsText" text="V">
      <formula>NOT(ISERROR(SEARCH("V",C2)))</formula>
    </cfRule>
    <cfRule type="containsText" dxfId="16" priority="42" operator="containsText" text="V">
      <formula>NOT(ISERROR(SEARCH("V",C2)))</formula>
    </cfRule>
    <cfRule type="containsText" dxfId="15" priority="46" operator="containsText" text="V">
      <formula>NOT(ISERROR(SEARCH("V",C2)))</formula>
    </cfRule>
  </conditionalFormatting>
  <conditionalFormatting sqref="AH8">
    <cfRule type="cellIs" dxfId="14" priority="30" operator="between">
      <formula>0.5</formula>
      <formula>1</formula>
    </cfRule>
  </conditionalFormatting>
  <conditionalFormatting sqref="C7:AG11">
    <cfRule type="cellIs" dxfId="13" priority="26" operator="equal">
      <formula>0.5</formula>
    </cfRule>
    <cfRule type="containsText" dxfId="12" priority="27" operator="containsText" text="1/2">
      <formula>NOT(ISERROR(SEARCH("1/2",C7)))</formula>
    </cfRule>
    <cfRule type="cellIs" dxfId="11" priority="28" operator="equal">
      <formula>" 1/2"</formula>
    </cfRule>
    <cfRule type="cellIs" dxfId="10" priority="29" operator="equal">
      <formula>" 1/2"</formula>
    </cfRule>
  </conditionalFormatting>
  <conditionalFormatting sqref="F2">
    <cfRule type="containsText" dxfId="9" priority="17" operator="containsText" text="e">
      <formula>NOT(ISERROR(SEARCH("e",F2)))</formula>
    </cfRule>
    <cfRule type="cellIs" dxfId="8" priority="18" operator="equal">
      <formula>42767</formula>
    </cfRule>
    <cfRule type="containsText" dxfId="7" priority="19" operator="containsText" text="1/2">
      <formula>NOT(ISERROR(SEARCH("1/2",F2)))</formula>
    </cfRule>
    <cfRule type="containsText" dxfId="6" priority="20" operator="containsText" text="R">
      <formula>NOT(ISERROR(SEARCH("R",F2)))</formula>
    </cfRule>
  </conditionalFormatting>
  <conditionalFormatting sqref="K2">
    <cfRule type="containsText" dxfId="5" priority="13" operator="containsText" text="Z">
      <formula>NOT(ISERROR(SEARCH("Z",K2)))</formula>
    </cfRule>
    <cfRule type="containsText" dxfId="4" priority="16" operator="containsText" text="Z">
      <formula>NOT(ISERROR(SEARCH("Z",K2)))</formula>
    </cfRule>
  </conditionalFormatting>
  <conditionalFormatting sqref="C7:AG11">
    <cfRule type="containsText" dxfId="3" priority="12" operator="containsText" text="Z">
      <formula>NOT(ISERROR(SEARCH("Z",C7)))</formula>
    </cfRule>
  </conditionalFormatting>
  <conditionalFormatting sqref="C7:AG11">
    <cfRule type="containsText" dxfId="2" priority="11" operator="containsText" text="R">
      <formula>NOT(ISERROR(SEARCH("R",C7)))</formula>
    </cfRule>
  </conditionalFormatting>
  <conditionalFormatting sqref="C7:AG11">
    <cfRule type="containsText" dxfId="1" priority="10" operator="containsText" text="W">
      <formula>NOT(ISERROR(SEARCH("W",C7)))</formula>
    </cfRule>
  </conditionalFormatting>
  <conditionalFormatting sqref="AI7:AI11">
    <cfRule type="dataBar" priority="9">
      <dataBar>
        <cfvo type="min"/>
        <cfvo type="max"/>
        <color rgb="FF008AEF"/>
      </dataBar>
      <extLst>
        <ext xmlns:x14="http://schemas.microsoft.com/office/spreadsheetml/2009/9/main" uri="{B025F937-C7B1-47D3-B67F-A62EFF666E3E}">
          <x14:id>{FD1A6450-FAF9-4275-95E8-9628534E450A}</x14:id>
        </ext>
      </extLst>
    </cfRule>
    <cfRule type="dataBar" priority="7">
      <dataBar>
        <cfvo type="min"/>
        <cfvo type="max"/>
        <color rgb="FF638EC6"/>
      </dataBar>
      <extLst>
        <ext xmlns:x14="http://schemas.microsoft.com/office/spreadsheetml/2009/9/main" uri="{B025F937-C7B1-47D3-B67F-A62EFF666E3E}">
          <x14:id>{BCE6F049-BAA9-4BC1-96FE-1EE8F2051B72}</x14:id>
        </ext>
      </extLst>
    </cfRule>
  </conditionalFormatting>
  <conditionalFormatting sqref="AI7:AI11">
    <cfRule type="dataBar" priority="8">
      <dataBar>
        <cfvo type="min"/>
        <cfvo type="max"/>
        <color rgb="FF638EC6"/>
      </dataBar>
      <extLst>
        <ext xmlns:x14="http://schemas.microsoft.com/office/spreadsheetml/2009/9/main" uri="{B025F937-C7B1-47D3-B67F-A62EFF666E3E}">
          <x14:id>{9DEA6ADB-6C4F-4EDE-B8B9-9FCAC8603962}</x14:id>
        </ext>
      </extLst>
    </cfRule>
    <cfRule type="colorScale" priority="6">
      <colorScale>
        <cfvo type="num" val="0"/>
        <cfvo type="num" val="32"/>
        <color rgb="FFFF7128"/>
        <color rgb="FFFFEF9C"/>
      </colorScale>
    </cfRule>
    <cfRule type="dataBar" priority="5">
      <dataBar>
        <cfvo type="num" val="0"/>
        <cfvo type="num" val="31"/>
        <color rgb="FFFF0000"/>
      </dataBar>
      <extLst>
        <ext xmlns:x14="http://schemas.microsoft.com/office/spreadsheetml/2009/9/main" uri="{B025F937-C7B1-47D3-B67F-A62EFF666E3E}">
          <x14:id>{648E50E3-A6A5-4E7B-BA79-797F59D8A259}</x14:id>
        </ext>
      </extLst>
    </cfRule>
    <cfRule type="colorScale" priority="4">
      <colorScale>
        <cfvo type="min"/>
        <cfvo type="max"/>
        <color theme="0"/>
        <color rgb="FFFFEF9C"/>
      </colorScale>
    </cfRule>
    <cfRule type="dataBar" priority="3">
      <dataBar>
        <cfvo type="min"/>
        <cfvo type="max"/>
        <color rgb="FF638EC6"/>
      </dataBar>
      <extLst>
        <ext xmlns:x14="http://schemas.microsoft.com/office/spreadsheetml/2009/9/main" uri="{B025F937-C7B1-47D3-B67F-A62EFF666E3E}">
          <x14:id>{A71D9229-C3A2-4F8F-BA76-F1255B63CD9E}</x14:id>
        </ext>
      </extLst>
    </cfRule>
    <cfRule type="dataBar" priority="2">
      <dataBar>
        <cfvo type="num" val="0"/>
        <cfvo type="num" val="31"/>
        <color rgb="FFFF0000"/>
      </dataBar>
      <extLst>
        <ext xmlns:x14="http://schemas.microsoft.com/office/spreadsheetml/2009/9/main" uri="{B025F937-C7B1-47D3-B67F-A62EFF666E3E}">
          <x14:id>{157A9EF7-4C6B-415D-BA08-1227A957BB87}</x14:id>
        </ext>
      </extLst>
    </cfRule>
  </conditionalFormatting>
  <conditionalFormatting sqref="C5:AG11">
    <cfRule type="expression" dxfId="0" priority="1">
      <formula>WEEKDAY(C$5,2)&gt;5</formula>
    </cfRule>
  </conditionalFormatting>
  <dataValidations count="15">
    <dataValidation allowBlank="1" showInputMessage="1" showErrorMessage="1" prompt="Voer het jaar in deze cel in" sqref="AH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weekdagen in deze rij worden automatisch bijgewerkt voor de maand op basis van het jaar dat u in AH4 hebt ingevoerd. Elke dag van de maand is een kolom om de afwezigheid en het type afwezigheid van een werknemer te noteren" sqref="C5"/>
    <dataValidation allowBlank="1" showInputMessage="1" showErrorMessage="1" prompt="Berekent automatisch het totaal aantal dagen dat een werknemer in deze maand niet aanwezig was" sqref="AH6"/>
    <dataValidation allowBlank="1" showInputMessage="1" showErrorMessage="1" prompt="De titel van dit werkblad staat in deze cel. Werk de titel bij en de wijziging wordt automatisch overgenomen door elk werkblad" sqref="B1"/>
    <dataValidation allowBlank="1" showInputMessage="1" showErrorMessage="1" prompt="Maand van deze afwezigheidsplanning. Werk in cel AH4 het jaar bij. Houd de totalen bij per maand in de laatste cel van de tabel. Voer de werknemersnamen in kolom B in"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AB2 X2 N2 Q2"/>
    <dataValidation allowBlank="1" showInputMessage="1" showErrorMessage="1" prompt="Voer links een label om de aangepaste sleutel te beschrijven in" sqref="AC2:AE2 Y2:AA2 O2:P2 R2"/>
    <dataValidation allowBlank="1" showInputMessage="1" showErrorMessage="1" prompt="Met de werknemersafwezigheidsplanning wordt de afwezigheid van werknemers in dagen per maand bijgehouden. Er zijn 13 werkbladen, 12 maandelijkse en een laatste voor namen van werknemers. Houd de afwezigheid in januari in dit werkblad bij" sqref="A1"/>
    <dataValidation allowBlank="1" showInputMessage="1" showErrorMessage="1" prompt="Jaar invoeren in de cel onder" sqref="AH3"/>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x14:cfvo type="num">
                <xm:f>0</xm:f>
              </x14:cfvo>
              <x14:cfvo type="num">
                <xm:f>31</xm:f>
              </x14:cfvo>
              <x14:negativeFillColor rgb="FFFF0000"/>
              <x14:axisColor rgb="FF000000"/>
            </x14:dataBar>
          </x14:cfRule>
          <xm:sqref>AH7:AH11</xm:sqref>
        </x14:conditionalFormatting>
        <x14:conditionalFormatting xmlns:xm="http://schemas.microsoft.com/office/excel/2006/main">
          <x14:cfRule type="dataBar" id="{FD1A6450-FAF9-4275-95E8-9628534E450A}">
            <x14:dataBar minLength="0" maxLength="100" gradient="0">
              <x14:cfvo type="autoMin"/>
              <x14:cfvo type="autoMax"/>
              <x14:negativeFillColor rgb="FFFF0000"/>
              <x14:axisColor rgb="FF000000"/>
            </x14:dataBar>
          </x14:cfRule>
          <x14:cfRule type="dataBar" id="{BCE6F049-BAA9-4BC1-96FE-1EE8F2051B72}">
            <x14:dataBar minLength="0" maxLength="100">
              <x14:cfvo type="autoMin"/>
              <x14:cfvo type="autoMax"/>
              <x14:negativeFillColor rgb="FFFF0000"/>
              <x14:axisColor rgb="FF000000"/>
            </x14:dataBar>
          </x14:cfRule>
          <xm:sqref>AI7:AI11</xm:sqref>
        </x14:conditionalFormatting>
        <x14:conditionalFormatting xmlns:xm="http://schemas.microsoft.com/office/excel/2006/main">
          <x14:cfRule type="dataBar" id="{9DEA6ADB-6C4F-4EDE-B8B9-9FCAC8603962}">
            <x14:dataBar minLength="0" maxLength="100" gradient="0">
              <x14:cfvo type="min"/>
              <x14:cfvo type="autoMax"/>
              <x14:negativeFillColor rgb="FFFF0000"/>
              <x14:axisColor rgb="FF000000"/>
            </x14:dataBar>
          </x14:cfRule>
          <x14:cfRule type="dataBar" id="{648E50E3-A6A5-4E7B-BA79-797F59D8A259}">
            <x14:dataBar minLength="0" maxLength="100" gradient="0">
              <x14:cfvo type="num">
                <xm:f>0</xm:f>
              </x14:cfvo>
              <x14:cfvo type="num">
                <xm:f>31</xm:f>
              </x14:cfvo>
              <x14:negativeFillColor rgb="FFFF0000"/>
              <x14:axisColor rgb="FF000000"/>
            </x14:dataBar>
          </x14:cfRule>
          <x14:cfRule type="dataBar" id="{A71D9229-C3A2-4F8F-BA76-F1255B63CD9E}">
            <x14:dataBar minLength="0" maxLength="100">
              <x14:cfvo type="autoMin"/>
              <x14:cfvo type="autoMax"/>
              <x14:negativeFillColor rgb="FFFF0000"/>
              <x14:axisColor rgb="FF000000"/>
            </x14:dataBar>
          </x14:cfRule>
          <x14:cfRule type="dataBar" id="{157A9EF7-4C6B-415D-BA08-1227A957BB87}">
            <x14:dataBar minLength="0" maxLength="100" gradient="0">
              <x14:cfvo type="num">
                <xm:f>0</xm:f>
              </x14:cfvo>
              <x14:cfvo type="num">
                <xm:f>31</xm:f>
              </x14:cfvo>
              <x14:negativeFillColor rgb="FFFF0000"/>
              <x14:axisColor rgb="FF000000"/>
            </x14:dataBar>
          </x14:cfRule>
          <xm:sqref>AI7:AI11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48</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TEXT(WEEKDAY(DATE(CalendarYear,10,1),1),"aaa")</f>
        <v>do</v>
      </c>
      <c r="D5" s="1" t="str">
        <f>TEXT(WEEKDAY(DATE(CalendarYear,10,2),1),"aaa")</f>
        <v>vr</v>
      </c>
      <c r="E5" s="1" t="str">
        <f>TEXT(WEEKDAY(DATE(CalendarYear,10,3),1),"aaa")</f>
        <v>za</v>
      </c>
      <c r="F5" s="1" t="str">
        <f>TEXT(WEEKDAY(DATE(CalendarYear,10,4),1),"aaa")</f>
        <v>zo</v>
      </c>
      <c r="G5" s="1" t="str">
        <f>TEXT(WEEKDAY(DATE(CalendarYear,10,5),1),"aaa")</f>
        <v>ma</v>
      </c>
      <c r="H5" s="1" t="str">
        <f>TEXT(WEEKDAY(DATE(CalendarYear,10,6),1),"aaa")</f>
        <v>di</v>
      </c>
      <c r="I5" s="1" t="str">
        <f>TEXT(WEEKDAY(DATE(CalendarYear,10,7),1),"aaa")</f>
        <v>wo</v>
      </c>
      <c r="J5" s="1" t="str">
        <f>TEXT(WEEKDAY(DATE(CalendarYear,10,8),1),"aaa")</f>
        <v>do</v>
      </c>
      <c r="K5" s="1" t="str">
        <f>TEXT(WEEKDAY(DATE(CalendarYear,10,9),1),"aaa")</f>
        <v>vr</v>
      </c>
      <c r="L5" s="1" t="str">
        <f>TEXT(WEEKDAY(DATE(CalendarYear,10,10),1),"aaa")</f>
        <v>za</v>
      </c>
      <c r="M5" s="1" t="str">
        <f>TEXT(WEEKDAY(DATE(CalendarYear,10,11),1),"aaa")</f>
        <v>zo</v>
      </c>
      <c r="N5" s="1" t="str">
        <f>TEXT(WEEKDAY(DATE(CalendarYear,10,12),1),"aaa")</f>
        <v>ma</v>
      </c>
      <c r="O5" s="1" t="str">
        <f>TEXT(WEEKDAY(DATE(CalendarYear,10,13),1),"aaa")</f>
        <v>di</v>
      </c>
      <c r="P5" s="1" t="str">
        <f>TEXT(WEEKDAY(DATE(CalendarYear,10,14),1),"aaa")</f>
        <v>wo</v>
      </c>
      <c r="Q5" s="1" t="str">
        <f>TEXT(WEEKDAY(DATE(CalendarYear,10,15),1),"aaa")</f>
        <v>do</v>
      </c>
      <c r="R5" s="1" t="str">
        <f>TEXT(WEEKDAY(DATE(CalendarYear,10,16),1),"aaa")</f>
        <v>vr</v>
      </c>
      <c r="S5" s="1" t="str">
        <f>TEXT(WEEKDAY(DATE(CalendarYear,10,17),1),"aaa")</f>
        <v>za</v>
      </c>
      <c r="T5" s="1" t="str">
        <f>TEXT(WEEKDAY(DATE(CalendarYear,10,18),1),"aaa")</f>
        <v>zo</v>
      </c>
      <c r="U5" s="1" t="str">
        <f>TEXT(WEEKDAY(DATE(CalendarYear,10,19),1),"aaa")</f>
        <v>ma</v>
      </c>
      <c r="V5" s="1" t="str">
        <f>TEXT(WEEKDAY(DATE(CalendarYear,10,20),1),"aaa")</f>
        <v>di</v>
      </c>
      <c r="W5" s="1" t="str">
        <f>TEXT(WEEKDAY(DATE(CalendarYear,10,21),1),"aaa")</f>
        <v>wo</v>
      </c>
      <c r="X5" s="1" t="str">
        <f>TEXT(WEEKDAY(DATE(CalendarYear,10,22),1),"aaa")</f>
        <v>do</v>
      </c>
      <c r="Y5" s="1" t="str">
        <f>TEXT(WEEKDAY(DATE(CalendarYear,10,23),1),"aaa")</f>
        <v>vr</v>
      </c>
      <c r="Z5" s="1" t="str">
        <f>TEXT(WEEKDAY(DATE(CalendarYear,10,24),1),"aaa")</f>
        <v>za</v>
      </c>
      <c r="AA5" s="1" t="str">
        <f>TEXT(WEEKDAY(DATE(CalendarYear,10,25),1),"aaa")</f>
        <v>zo</v>
      </c>
      <c r="AB5" s="1" t="str">
        <f>TEXT(WEEKDAY(DATE(CalendarYear,10,26),1),"aaa")</f>
        <v>ma</v>
      </c>
      <c r="AC5" s="1" t="str">
        <f>TEXT(WEEKDAY(DATE(CalendarYear,10,27),1),"aaa")</f>
        <v>di</v>
      </c>
      <c r="AD5" s="1" t="str">
        <f>TEXT(WEEKDAY(DATE(CalendarYear,10,28),1),"aaa")</f>
        <v>wo</v>
      </c>
      <c r="AE5" s="1" t="str">
        <f>TEXT(WEEKDAY(DATE(CalendarYear,10,29),1),"aaa")</f>
        <v>do</v>
      </c>
      <c r="AF5" s="1" t="str">
        <f>TEXT(WEEKDAY(DATE(CalendarYear,10,30),1),"aaa")</f>
        <v>vr</v>
      </c>
      <c r="AG5" s="1" t="str">
        <f>TEXT(WEEKDAY(DATE(CalendarYear,10,31),1),"aaa")</f>
        <v>za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COUNTA(Oktober[[#This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COUNTA(Oktober[[#This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COUNTA(Oktober[[#This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COUNTA(Oktober[[#This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COUNTA(Oktober[[#This Row],[1]:[31]])</f>
        <v>0</v>
      </c>
    </row>
    <row r="12" spans="2:34" ht="30" customHeight="1" x14ac:dyDescent="0.25">
      <c r="B12" s="14" t="str">
        <f>MonthName&amp;" totaal"</f>
        <v>Oktober totaal</v>
      </c>
      <c r="C12" s="8">
        <f>SUBTOTAL(103,Oktober[1])</f>
        <v>0</v>
      </c>
      <c r="D12" s="8">
        <f>SUBTOTAL(103,Oktober[2])</f>
        <v>0</v>
      </c>
      <c r="E12" s="8">
        <f>SUBTOTAL(103,Oktober[3])</f>
        <v>0</v>
      </c>
      <c r="F12" s="8">
        <f>SUBTOTAL(103,Oktober[4])</f>
        <v>0</v>
      </c>
      <c r="G12" s="8">
        <f>SUBTOTAL(103,Oktober[5])</f>
        <v>0</v>
      </c>
      <c r="H12" s="8">
        <f>SUBTOTAL(103,Oktober[6])</f>
        <v>0</v>
      </c>
      <c r="I12" s="8">
        <f>SUBTOTAL(103,Oktober[7])</f>
        <v>0</v>
      </c>
      <c r="J12" s="8">
        <f>SUBTOTAL(103,Oktober[8])</f>
        <v>0</v>
      </c>
      <c r="K12" s="8">
        <f>SUBTOTAL(103,Oktober[9])</f>
        <v>0</v>
      </c>
      <c r="L12" s="8">
        <f>SUBTOTAL(103,Oktober[10])</f>
        <v>0</v>
      </c>
      <c r="M12" s="8">
        <f>SUBTOTAL(103,Oktober[11])</f>
        <v>0</v>
      </c>
      <c r="N12" s="8">
        <f>SUBTOTAL(103,Oktober[12])</f>
        <v>0</v>
      </c>
      <c r="O12" s="8">
        <f>SUBTOTAL(103,Oktober[13])</f>
        <v>0</v>
      </c>
      <c r="P12" s="8">
        <f>SUBTOTAL(103,Oktober[14])</f>
        <v>0</v>
      </c>
      <c r="Q12" s="8">
        <f>SUBTOTAL(103,Oktober[15])</f>
        <v>0</v>
      </c>
      <c r="R12" s="8">
        <f>SUBTOTAL(103,Oktober[16])</f>
        <v>0</v>
      </c>
      <c r="S12" s="8">
        <f>SUBTOTAL(103,Oktober[17])</f>
        <v>0</v>
      </c>
      <c r="T12" s="8">
        <f>SUBTOTAL(103,Oktober[18])</f>
        <v>0</v>
      </c>
      <c r="U12" s="8">
        <f>SUBTOTAL(103,Oktober[19])</f>
        <v>0</v>
      </c>
      <c r="V12" s="8">
        <f>SUBTOTAL(103,Oktober[20])</f>
        <v>0</v>
      </c>
      <c r="W12" s="8">
        <f>SUBTOTAL(103,Oktober[21])</f>
        <v>0</v>
      </c>
      <c r="X12" s="8">
        <f>SUBTOTAL(103,Oktober[22])</f>
        <v>0</v>
      </c>
      <c r="Y12" s="8">
        <f>SUBTOTAL(103,Oktober[23])</f>
        <v>0</v>
      </c>
      <c r="Z12" s="8">
        <f>SUBTOTAL(103,Oktober[24])</f>
        <v>0</v>
      </c>
      <c r="AA12" s="8">
        <f>SUBTOTAL(103,Oktober[25])</f>
        <v>0</v>
      </c>
      <c r="AB12" s="8">
        <f>SUBTOTAL(103,Oktober[26])</f>
        <v>0</v>
      </c>
      <c r="AC12" s="8">
        <f>SUBTOTAL(103,Oktober[27])</f>
        <v>0</v>
      </c>
      <c r="AD12" s="8">
        <f>SUBTOTAL(103,Oktober[28])</f>
        <v>0</v>
      </c>
      <c r="AE12" s="8">
        <f>SUBTOTAL(103,Oktober[29])</f>
        <v>0</v>
      </c>
      <c r="AF12" s="8">
        <f>SUBTOTAL(109,Oktober[30])</f>
        <v>0</v>
      </c>
      <c r="AG12" s="8">
        <f>SUBTOTAL(109,Oktober[31])</f>
        <v>0</v>
      </c>
      <c r="AH12" s="8">
        <f>SUBTOTAL(109,Oktober[Totaal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301" priority="14" stopIfTrue="1">
      <formula>C7=KeyCustom2</formula>
    </cfRule>
    <cfRule type="expression" dxfId="300" priority="15" stopIfTrue="1">
      <formula>C7=KeyCustom1</formula>
    </cfRule>
    <cfRule type="expression" dxfId="299" priority="16" stopIfTrue="1">
      <formula>C7=KeySick</formula>
    </cfRule>
    <cfRule type="expression" dxfId="298" priority="17" stopIfTrue="1">
      <formula>C7=KeyPersonal</formula>
    </cfRule>
    <cfRule type="expression" dxfId="297"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{F32A08EA-50E8-4B5F-AB1F-5A7739FBC16C}</x14:id>
        </ext>
      </extLst>
    </cfRule>
  </conditionalFormatting>
  <conditionalFormatting sqref="C2">
    <cfRule type="containsText" dxfId="296" priority="2" operator="containsText" text="V">
      <formula>NOT(ISERROR(SEARCH("V",C2)))</formula>
    </cfRule>
    <cfRule type="containsText" dxfId="295" priority="3" operator="containsText" text="V">
      <formula>NOT(ISERROR(SEARCH("V",C2)))</formula>
    </cfRule>
    <cfRule type="containsText" dxfId="294" priority="9" operator="containsText" text="V">
      <formula>NOT(ISERROR(SEARCH("V",C2)))</formula>
    </cfRule>
    <cfRule type="containsText" dxfId="293" priority="10" operator="containsText" text="V">
      <formula>NOT(ISERROR(SEARCH("V",C2)))</formula>
    </cfRule>
    <cfRule type="containsText" dxfId="292" priority="11" operator="containsText" text="V">
      <formula>NOT(ISERROR(SEARCH("V",C2)))</formula>
    </cfRule>
    <cfRule type="containsText" dxfId="291" priority="12" operator="containsText" text="V">
      <formula>NOT(ISERROR(SEARCH("V",C2)))</formula>
    </cfRule>
  </conditionalFormatting>
  <conditionalFormatting sqref="F2">
    <cfRule type="containsText" dxfId="290" priority="5" operator="containsText" text="e">
      <formula>NOT(ISERROR(SEARCH("e",F2)))</formula>
    </cfRule>
    <cfRule type="cellIs" dxfId="289" priority="6" operator="equal">
      <formula>42767</formula>
    </cfRule>
    <cfRule type="containsText" dxfId="288" priority="7" operator="containsText" text="1/2">
      <formula>NOT(ISERROR(SEARCH("1/2",F2)))</formula>
    </cfRule>
    <cfRule type="containsText" dxfId="287" priority="8" operator="containsText" text="R">
      <formula>NOT(ISERROR(SEARCH("R",F2)))</formula>
    </cfRule>
  </conditionalFormatting>
  <conditionalFormatting sqref="K2">
    <cfRule type="containsText" dxfId="286" priority="1" operator="containsText" text="Z">
      <formula>NOT(ISERROR(SEARCH("Z",K2)))</formula>
    </cfRule>
    <cfRule type="containsText" dxfId="285"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okto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32A08EA-50E8-4B5F-AB1F-5A7739FBC16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49</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TEXT(WEEKDAY(DATE(CalendarYear,11,1),1),"aaa")</f>
        <v>zo</v>
      </c>
      <c r="D5" s="1" t="str">
        <f>TEXT(WEEKDAY(DATE(CalendarYear,11,2),1),"aaa")</f>
        <v>ma</v>
      </c>
      <c r="E5" s="1" t="str">
        <f>TEXT(WEEKDAY(DATE(CalendarYear,11,3),1),"aaa")</f>
        <v>di</v>
      </c>
      <c r="F5" s="1" t="str">
        <f>TEXT(WEEKDAY(DATE(CalendarYear,11,4),1),"aaa")</f>
        <v>wo</v>
      </c>
      <c r="G5" s="1" t="str">
        <f>TEXT(WEEKDAY(DATE(CalendarYear,11,5),1),"aaa")</f>
        <v>do</v>
      </c>
      <c r="H5" s="1" t="str">
        <f>TEXT(WEEKDAY(DATE(CalendarYear,11,6),1),"aaa")</f>
        <v>vr</v>
      </c>
      <c r="I5" s="1" t="str">
        <f>TEXT(WEEKDAY(DATE(CalendarYear,11,7),1),"aaa")</f>
        <v>za</v>
      </c>
      <c r="J5" s="1" t="str">
        <f>TEXT(WEEKDAY(DATE(CalendarYear,11,8),1),"aaa")</f>
        <v>zo</v>
      </c>
      <c r="K5" s="1" t="str">
        <f>TEXT(WEEKDAY(DATE(CalendarYear,11,9),1),"aaa")</f>
        <v>ma</v>
      </c>
      <c r="L5" s="1" t="str">
        <f>TEXT(WEEKDAY(DATE(CalendarYear,11,10),1),"aaa")</f>
        <v>di</v>
      </c>
      <c r="M5" s="1" t="str">
        <f>TEXT(WEEKDAY(DATE(CalendarYear,11,11),1),"aaa")</f>
        <v>wo</v>
      </c>
      <c r="N5" s="1" t="str">
        <f>TEXT(WEEKDAY(DATE(CalendarYear,11,12),1),"aaa")</f>
        <v>do</v>
      </c>
      <c r="O5" s="1" t="str">
        <f>TEXT(WEEKDAY(DATE(CalendarYear,11,13),1),"aaa")</f>
        <v>vr</v>
      </c>
      <c r="P5" s="1" t="str">
        <f>TEXT(WEEKDAY(DATE(CalendarYear,11,14),1),"aaa")</f>
        <v>za</v>
      </c>
      <c r="Q5" s="1" t="str">
        <f>TEXT(WEEKDAY(DATE(CalendarYear,11,15),1),"aaa")</f>
        <v>zo</v>
      </c>
      <c r="R5" s="1" t="str">
        <f>TEXT(WEEKDAY(DATE(CalendarYear,11,16),1),"aaa")</f>
        <v>ma</v>
      </c>
      <c r="S5" s="1" t="str">
        <f>TEXT(WEEKDAY(DATE(CalendarYear,11,17),1),"aaa")</f>
        <v>di</v>
      </c>
      <c r="T5" s="1" t="str">
        <f>TEXT(WEEKDAY(DATE(CalendarYear,11,18),1),"aaa")</f>
        <v>wo</v>
      </c>
      <c r="U5" s="1" t="str">
        <f>TEXT(WEEKDAY(DATE(CalendarYear,11,19),1),"aaa")</f>
        <v>do</v>
      </c>
      <c r="V5" s="1" t="str">
        <f>TEXT(WEEKDAY(DATE(CalendarYear,11,20),1),"aaa")</f>
        <v>vr</v>
      </c>
      <c r="W5" s="1" t="str">
        <f>TEXT(WEEKDAY(DATE(CalendarYear,11,21),1),"aaa")</f>
        <v>za</v>
      </c>
      <c r="X5" s="1" t="str">
        <f>TEXT(WEEKDAY(DATE(CalendarYear,11,22),1),"aaa")</f>
        <v>zo</v>
      </c>
      <c r="Y5" s="1" t="str">
        <f>TEXT(WEEKDAY(DATE(CalendarYear,11,23),1),"aaa")</f>
        <v>ma</v>
      </c>
      <c r="Z5" s="1" t="str">
        <f>TEXT(WEEKDAY(DATE(CalendarYear,11,24),1),"aaa")</f>
        <v>di</v>
      </c>
      <c r="AA5" s="1" t="str">
        <f>TEXT(WEEKDAY(DATE(CalendarYear,11,25),1),"aaa")</f>
        <v>wo</v>
      </c>
      <c r="AB5" s="1" t="str">
        <f>TEXT(WEEKDAY(DATE(CalendarYear,11,26),1),"aaa")</f>
        <v>do</v>
      </c>
      <c r="AC5" s="1" t="str">
        <f>TEXT(WEEKDAY(DATE(CalendarYear,11,27),1),"aaa")</f>
        <v>vr</v>
      </c>
      <c r="AD5" s="1" t="str">
        <f>TEXT(WEEKDAY(DATE(CalendarYear,11,28),1),"aaa")</f>
        <v>za</v>
      </c>
      <c r="AE5" s="1" t="str">
        <f>TEXT(WEEKDAY(DATE(CalendarYear,11,29),1),"aaa")</f>
        <v>zo</v>
      </c>
      <c r="AF5" s="1" t="str">
        <f>TEXT(WEEKDAY(DATE(CalendarYear,11,30),1),"aaa")</f>
        <v>ma</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COUNTA(November[[#This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COUNTA(November[[#This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COUNTA(November[[#This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COUNTA(November[[#This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COUNTA(November[[#This Row],[1]:[31]])</f>
        <v>0</v>
      </c>
    </row>
    <row r="12" spans="2:34" ht="30" customHeight="1" x14ac:dyDescent="0.25">
      <c r="B12" s="14" t="str">
        <f>MonthName&amp;" totaal"</f>
        <v>November totaal</v>
      </c>
      <c r="C12" s="8">
        <f>SUBTOTAL(103,November[1])</f>
        <v>0</v>
      </c>
      <c r="D12" s="8">
        <f>SUBTOTAL(103,November[2])</f>
        <v>0</v>
      </c>
      <c r="E12" s="8">
        <f>SUBTOTAL(103,November[3])</f>
        <v>0</v>
      </c>
      <c r="F12" s="8">
        <f>SUBTOTAL(103,November[4])</f>
        <v>0</v>
      </c>
      <c r="G12" s="8">
        <f>SUBTOTAL(103,November[5])</f>
        <v>0</v>
      </c>
      <c r="H12" s="8">
        <f>SUBTOTAL(103,November[6])</f>
        <v>0</v>
      </c>
      <c r="I12" s="8">
        <f>SUBTOTAL(103,November[7])</f>
        <v>0</v>
      </c>
      <c r="J12" s="8">
        <f>SUBTOTAL(103,November[8])</f>
        <v>0</v>
      </c>
      <c r="K12" s="8">
        <f>SUBTOTAL(103,November[9])</f>
        <v>0</v>
      </c>
      <c r="L12" s="8">
        <f>SUBTOTAL(103,November[10])</f>
        <v>0</v>
      </c>
      <c r="M12" s="8">
        <f>SUBTOTAL(103,November[11])</f>
        <v>0</v>
      </c>
      <c r="N12" s="8">
        <f>SUBTOTAL(103,November[12])</f>
        <v>0</v>
      </c>
      <c r="O12" s="8">
        <f>SUBTOTAL(103,November[13])</f>
        <v>0</v>
      </c>
      <c r="P12" s="8">
        <f>SUBTOTAL(103,November[14])</f>
        <v>0</v>
      </c>
      <c r="Q12" s="8">
        <f>SUBTOTAL(103,November[15])</f>
        <v>0</v>
      </c>
      <c r="R12" s="8">
        <f>SUBTOTAL(103,November[16])</f>
        <v>0</v>
      </c>
      <c r="S12" s="8">
        <f>SUBTOTAL(103,November[17])</f>
        <v>0</v>
      </c>
      <c r="T12" s="8">
        <f>SUBTOTAL(103,November[18])</f>
        <v>0</v>
      </c>
      <c r="U12" s="8">
        <f>SUBTOTAL(103,November[19])</f>
        <v>0</v>
      </c>
      <c r="V12" s="8">
        <f>SUBTOTAL(103,November[20])</f>
        <v>0</v>
      </c>
      <c r="W12" s="8">
        <f>SUBTOTAL(103,November[21])</f>
        <v>0</v>
      </c>
      <c r="X12" s="8">
        <f>SUBTOTAL(103,November[22])</f>
        <v>0</v>
      </c>
      <c r="Y12" s="8">
        <f>SUBTOTAL(103,November[23])</f>
        <v>0</v>
      </c>
      <c r="Z12" s="8">
        <f>SUBTOTAL(103,November[24])</f>
        <v>0</v>
      </c>
      <c r="AA12" s="8">
        <f>SUBTOTAL(103,November[25])</f>
        <v>0</v>
      </c>
      <c r="AB12" s="8">
        <f>SUBTOTAL(103,November[26])</f>
        <v>0</v>
      </c>
      <c r="AC12" s="8">
        <f>SUBTOTAL(103,November[27])</f>
        <v>0</v>
      </c>
      <c r="AD12" s="8">
        <f>SUBTOTAL(103,November[28])</f>
        <v>0</v>
      </c>
      <c r="AE12" s="8">
        <f>SUBTOTAL(103,November[29])</f>
        <v>0</v>
      </c>
      <c r="AF12" s="8">
        <f>SUBTOTAL(109,November[30])</f>
        <v>0</v>
      </c>
      <c r="AG12" s="8">
        <f>SUBTOTAL(109,November[31])</f>
        <v>0</v>
      </c>
      <c r="AH12" s="8">
        <f>SUBTOTAL(109,November[Totaal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215" priority="14" stopIfTrue="1">
      <formula>C7=KeyCustom2</formula>
    </cfRule>
    <cfRule type="expression" dxfId="214" priority="15" stopIfTrue="1">
      <formula>C7=KeyCustom1</formula>
    </cfRule>
    <cfRule type="expression" dxfId="213" priority="16" stopIfTrue="1">
      <formula>C7=KeySick</formula>
    </cfRule>
    <cfRule type="expression" dxfId="212" priority="17" stopIfTrue="1">
      <formula>C7=KeyPersonal</formula>
    </cfRule>
    <cfRule type="expression" dxfId="211"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{27D92E49-5CF1-46DF-AD7A-3A5E92F274F3}</x14:id>
        </ext>
      </extLst>
    </cfRule>
  </conditionalFormatting>
  <conditionalFormatting sqref="C2">
    <cfRule type="containsText" dxfId="210" priority="2" operator="containsText" text="V">
      <formula>NOT(ISERROR(SEARCH("V",C2)))</formula>
    </cfRule>
    <cfRule type="containsText" dxfId="209" priority="3" operator="containsText" text="V">
      <formula>NOT(ISERROR(SEARCH("V",C2)))</formula>
    </cfRule>
    <cfRule type="containsText" dxfId="208" priority="9" operator="containsText" text="V">
      <formula>NOT(ISERROR(SEARCH("V",C2)))</formula>
    </cfRule>
    <cfRule type="containsText" dxfId="207" priority="10" operator="containsText" text="V">
      <formula>NOT(ISERROR(SEARCH("V",C2)))</formula>
    </cfRule>
    <cfRule type="containsText" dxfId="206" priority="11" operator="containsText" text="V">
      <formula>NOT(ISERROR(SEARCH("V",C2)))</formula>
    </cfRule>
    <cfRule type="containsText" dxfId="205" priority="12" operator="containsText" text="V">
      <formula>NOT(ISERROR(SEARCH("V",C2)))</formula>
    </cfRule>
  </conditionalFormatting>
  <conditionalFormatting sqref="F2">
    <cfRule type="containsText" dxfId="204" priority="5" operator="containsText" text="e">
      <formula>NOT(ISERROR(SEARCH("e",F2)))</formula>
    </cfRule>
    <cfRule type="cellIs" dxfId="203" priority="6" operator="equal">
      <formula>42767</formula>
    </cfRule>
    <cfRule type="containsText" dxfId="202" priority="7" operator="containsText" text="1/2">
      <formula>NOT(ISERROR(SEARCH("1/2",F2)))</formula>
    </cfRule>
    <cfRule type="containsText" dxfId="201" priority="8" operator="containsText" text="R">
      <formula>NOT(ISERROR(SEARCH("R",F2)))</formula>
    </cfRule>
  </conditionalFormatting>
  <conditionalFormatting sqref="K2">
    <cfRule type="containsText" dxfId="200" priority="1" operator="containsText" text="Z">
      <formula>NOT(ISERROR(SEARCH("Z",K2)))</formula>
    </cfRule>
    <cfRule type="containsText" dxfId="199"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nov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7D92E49-5CF1-46DF-AD7A-3A5E92F274F3}">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tabColor theme="7" tint="0.79998168889431442"/>
    <pageSetUpPr fitToPage="1"/>
  </sheetPr>
  <dimension ref="A1:AH12"/>
  <sheetViews>
    <sheetView showGridLines="0" zoomScaleNormal="100" workbookViewId="0">
      <selection activeCell="J17" sqref="J17"/>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50</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TEXT(WEEKDAY(DATE(CalendarYear,12,1),1),"aaa")</f>
        <v>di</v>
      </c>
      <c r="D5" s="1" t="str">
        <f>TEXT(WEEKDAY(DATE(CalendarYear,12,2),1),"aaa")</f>
        <v>wo</v>
      </c>
      <c r="E5" s="1" t="str">
        <f>TEXT(WEEKDAY(DATE(CalendarYear,12,3),1),"aaa")</f>
        <v>do</v>
      </c>
      <c r="F5" s="1" t="str">
        <f>TEXT(WEEKDAY(DATE(CalendarYear,12,4),1),"aaa")</f>
        <v>vr</v>
      </c>
      <c r="G5" s="1" t="str">
        <f>TEXT(WEEKDAY(DATE(CalendarYear,12,5),1),"aaa")</f>
        <v>za</v>
      </c>
      <c r="H5" s="1" t="str">
        <f>TEXT(WEEKDAY(DATE(CalendarYear,12,6),1),"aaa")</f>
        <v>zo</v>
      </c>
      <c r="I5" s="1" t="str">
        <f>TEXT(WEEKDAY(DATE(CalendarYear,12,7),1),"aaa")</f>
        <v>ma</v>
      </c>
      <c r="J5" s="1" t="str">
        <f>TEXT(WEEKDAY(DATE(CalendarYear,12,8),1),"aaa")</f>
        <v>di</v>
      </c>
      <c r="K5" s="1" t="str">
        <f>TEXT(WEEKDAY(DATE(CalendarYear,12,9),1),"aaa")</f>
        <v>wo</v>
      </c>
      <c r="L5" s="1" t="str">
        <f>TEXT(WEEKDAY(DATE(CalendarYear,12,10),1),"aaa")</f>
        <v>do</v>
      </c>
      <c r="M5" s="1" t="str">
        <f>TEXT(WEEKDAY(DATE(CalendarYear,12,11),1),"aaa")</f>
        <v>vr</v>
      </c>
      <c r="N5" s="1" t="str">
        <f>TEXT(WEEKDAY(DATE(CalendarYear,12,12),1),"aaa")</f>
        <v>za</v>
      </c>
      <c r="O5" s="1" t="str">
        <f>TEXT(WEEKDAY(DATE(CalendarYear,12,13),1),"aaa")</f>
        <v>zo</v>
      </c>
      <c r="P5" s="1" t="str">
        <f>TEXT(WEEKDAY(DATE(CalendarYear,12,14),1),"aaa")</f>
        <v>ma</v>
      </c>
      <c r="Q5" s="1" t="str">
        <f>TEXT(WEEKDAY(DATE(CalendarYear,12,15),1),"aaa")</f>
        <v>di</v>
      </c>
      <c r="R5" s="1" t="str">
        <f>TEXT(WEEKDAY(DATE(CalendarYear,12,16),1),"aaa")</f>
        <v>wo</v>
      </c>
      <c r="S5" s="1" t="str">
        <f>TEXT(WEEKDAY(DATE(CalendarYear,12,17),1),"aaa")</f>
        <v>do</v>
      </c>
      <c r="T5" s="1" t="str">
        <f>TEXT(WEEKDAY(DATE(CalendarYear,12,18),1),"aaa")</f>
        <v>vr</v>
      </c>
      <c r="U5" s="1" t="str">
        <f>TEXT(WEEKDAY(DATE(CalendarYear,12,19),1),"aaa")</f>
        <v>za</v>
      </c>
      <c r="V5" s="1" t="str">
        <f>TEXT(WEEKDAY(DATE(CalendarYear,12,20),1),"aaa")</f>
        <v>zo</v>
      </c>
      <c r="W5" s="1" t="str">
        <f>TEXT(WEEKDAY(DATE(CalendarYear,12,21),1),"aaa")</f>
        <v>ma</v>
      </c>
      <c r="X5" s="1" t="str">
        <f>TEXT(WEEKDAY(DATE(CalendarYear,12,22),1),"aaa")</f>
        <v>di</v>
      </c>
      <c r="Y5" s="1" t="str">
        <f>TEXT(WEEKDAY(DATE(CalendarYear,12,23),1),"aaa")</f>
        <v>wo</v>
      </c>
      <c r="Z5" s="1" t="str">
        <f>TEXT(WEEKDAY(DATE(CalendarYear,12,24),1),"aaa")</f>
        <v>do</v>
      </c>
      <c r="AA5" s="1" t="str">
        <f>TEXT(WEEKDAY(DATE(CalendarYear,12,25),1),"aaa")</f>
        <v>vr</v>
      </c>
      <c r="AB5" s="1" t="str">
        <f>TEXT(WEEKDAY(DATE(CalendarYear,12,26),1),"aaa")</f>
        <v>za</v>
      </c>
      <c r="AC5" s="1" t="str">
        <f>TEXT(WEEKDAY(DATE(CalendarYear,12,27),1),"aaa")</f>
        <v>zo</v>
      </c>
      <c r="AD5" s="1" t="str">
        <f>TEXT(WEEKDAY(DATE(CalendarYear,12,28),1),"aaa")</f>
        <v>ma</v>
      </c>
      <c r="AE5" s="1" t="str">
        <f>TEXT(WEEKDAY(DATE(CalendarYear,12,29),1),"aaa")</f>
        <v>di</v>
      </c>
      <c r="AF5" s="1" t="str">
        <f>TEXT(WEEKDAY(DATE(CalendarYear,12,30),1),"aaa")</f>
        <v>wo</v>
      </c>
      <c r="AG5" s="1" t="str">
        <f>TEXT(WEEKDAY(DATE(CalendarYear,12,31),1),"aaa")</f>
        <v>do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COUNTA(December[[#This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COUNTA(December[[#This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COUNTA(December[[#This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COUNTA(December[[#This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COUNTA(December[[#This Row],[1]:[31]])</f>
        <v>0</v>
      </c>
    </row>
    <row r="12" spans="2:34" ht="30" customHeight="1" x14ac:dyDescent="0.25">
      <c r="B12" s="14" t="str">
        <f>MonthName&amp;" totaal"</f>
        <v>December totaal</v>
      </c>
      <c r="C12" s="8">
        <f>SUBTOTAL(103,December[1])</f>
        <v>0</v>
      </c>
      <c r="D12" s="8">
        <f>SUBTOTAL(103,December[2])</f>
        <v>0</v>
      </c>
      <c r="E12" s="8">
        <f>SUBTOTAL(103,December[3])</f>
        <v>0</v>
      </c>
      <c r="F12" s="8">
        <f>SUBTOTAL(103,December[4])</f>
        <v>0</v>
      </c>
      <c r="G12" s="8">
        <f>SUBTOTAL(103,December[5])</f>
        <v>0</v>
      </c>
      <c r="H12" s="8">
        <f>SUBTOTAL(103,December[6])</f>
        <v>0</v>
      </c>
      <c r="I12" s="8">
        <f>SUBTOTAL(103,December[7])</f>
        <v>0</v>
      </c>
      <c r="J12" s="8">
        <f>SUBTOTAL(103,December[8])</f>
        <v>0</v>
      </c>
      <c r="K12" s="8">
        <f>SUBTOTAL(103,December[9])</f>
        <v>0</v>
      </c>
      <c r="L12" s="8">
        <f>SUBTOTAL(103,December[10])</f>
        <v>0</v>
      </c>
      <c r="M12" s="8">
        <f>SUBTOTAL(103,December[11])</f>
        <v>0</v>
      </c>
      <c r="N12" s="8">
        <f>SUBTOTAL(103,December[12])</f>
        <v>0</v>
      </c>
      <c r="O12" s="8">
        <f>SUBTOTAL(103,December[13])</f>
        <v>0</v>
      </c>
      <c r="P12" s="8">
        <f>SUBTOTAL(103,December[14])</f>
        <v>0</v>
      </c>
      <c r="Q12" s="8">
        <f>SUBTOTAL(103,December[15])</f>
        <v>0</v>
      </c>
      <c r="R12" s="8">
        <f>SUBTOTAL(103,December[16])</f>
        <v>0</v>
      </c>
      <c r="S12" s="8">
        <f>SUBTOTAL(103,December[17])</f>
        <v>0</v>
      </c>
      <c r="T12" s="8">
        <f>SUBTOTAL(103,December[18])</f>
        <v>0</v>
      </c>
      <c r="U12" s="8">
        <f>SUBTOTAL(103,December[19])</f>
        <v>0</v>
      </c>
      <c r="V12" s="8">
        <f>SUBTOTAL(103,December[20])</f>
        <v>0</v>
      </c>
      <c r="W12" s="8">
        <f>SUBTOTAL(103,December[21])</f>
        <v>0</v>
      </c>
      <c r="X12" s="8">
        <f>SUBTOTAL(103,December[22])</f>
        <v>0</v>
      </c>
      <c r="Y12" s="8">
        <f>SUBTOTAL(103,December[23])</f>
        <v>0</v>
      </c>
      <c r="Z12" s="8">
        <f>SUBTOTAL(103,December[24])</f>
        <v>0</v>
      </c>
      <c r="AA12" s="8">
        <f>SUBTOTAL(103,December[25])</f>
        <v>0</v>
      </c>
      <c r="AB12" s="8">
        <f>SUBTOTAL(103,December[26])</f>
        <v>0</v>
      </c>
      <c r="AC12" s="8">
        <f>SUBTOTAL(103,December[27])</f>
        <v>0</v>
      </c>
      <c r="AD12" s="8">
        <f>SUBTOTAL(103,December[28])</f>
        <v>0</v>
      </c>
      <c r="AE12" s="8">
        <f>SUBTOTAL(103,December[29])</f>
        <v>0</v>
      </c>
      <c r="AF12" s="8">
        <f>SUBTOTAL(109,December[30])</f>
        <v>0</v>
      </c>
      <c r="AG12" s="8">
        <f>SUBTOTAL(109,December[31])</f>
        <v>0</v>
      </c>
      <c r="AH12" s="8">
        <f>SUBTOTAL(109,December[Totaal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129" priority="14" stopIfTrue="1">
      <formula>C7=KeyCustom2</formula>
    </cfRule>
    <cfRule type="expression" dxfId="128" priority="15" stopIfTrue="1">
      <formula>C7=KeyCustom1</formula>
    </cfRule>
    <cfRule type="expression" dxfId="127" priority="16" stopIfTrue="1">
      <formula>C7=KeySick</formula>
    </cfRule>
    <cfRule type="expression" dxfId="126" priority="17" stopIfTrue="1">
      <formula>C7=KeyPersonal</formula>
    </cfRule>
    <cfRule type="expression" dxfId="125" priority="18" stopIfTrue="1">
      <formula>C7=KeyVacation</formula>
    </cfRule>
  </conditionalFormatting>
  <conditionalFormatting sqref="AH7:AH11">
    <cfRule type="dataBar" priority="42">
      <dataBar>
        <cfvo type="min"/>
        <cfvo type="formula" val="DATEDIF(DATE(CalendarYear,2,1),DATE(CalendarYear,3,1),&quot;d&quot;)"/>
        <color theme="2" tint="-0.249977111117893"/>
      </dataBar>
      <extLst>
        <ext xmlns:x14="http://schemas.microsoft.com/office/spreadsheetml/2009/9/main" uri="{B025F937-C7B1-47D3-B67F-A62EFF666E3E}">
          <x14:id>{17586780-365B-4F4C-BBB4-F5991705D361}</x14:id>
        </ext>
      </extLst>
    </cfRule>
  </conditionalFormatting>
  <conditionalFormatting sqref="C2">
    <cfRule type="containsText" dxfId="124" priority="2" operator="containsText" text="V">
      <formula>NOT(ISERROR(SEARCH("V",C2)))</formula>
    </cfRule>
    <cfRule type="containsText" dxfId="123" priority="3" operator="containsText" text="V">
      <formula>NOT(ISERROR(SEARCH("V",C2)))</formula>
    </cfRule>
    <cfRule type="containsText" dxfId="122" priority="9" operator="containsText" text="V">
      <formula>NOT(ISERROR(SEARCH("V",C2)))</formula>
    </cfRule>
    <cfRule type="containsText" dxfId="121" priority="10" operator="containsText" text="V">
      <formula>NOT(ISERROR(SEARCH("V",C2)))</formula>
    </cfRule>
    <cfRule type="containsText" dxfId="120" priority="11" operator="containsText" text="V">
      <formula>NOT(ISERROR(SEARCH("V",C2)))</formula>
    </cfRule>
    <cfRule type="containsText" dxfId="119" priority="12" operator="containsText" text="V">
      <formula>NOT(ISERROR(SEARCH("V",C2)))</formula>
    </cfRule>
  </conditionalFormatting>
  <conditionalFormatting sqref="F2">
    <cfRule type="containsText" dxfId="118" priority="5" operator="containsText" text="e">
      <formula>NOT(ISERROR(SEARCH("e",F2)))</formula>
    </cfRule>
    <cfRule type="cellIs" dxfId="117" priority="6" operator="equal">
      <formula>42767</formula>
    </cfRule>
    <cfRule type="containsText" dxfId="116" priority="7" operator="containsText" text="1/2">
      <formula>NOT(ISERROR(SEARCH("1/2",F2)))</formula>
    </cfRule>
    <cfRule type="containsText" dxfId="115" priority="8" operator="containsText" text="R">
      <formula>NOT(ISERROR(SEARCH("R",F2)))</formula>
    </cfRule>
  </conditionalFormatting>
  <conditionalFormatting sqref="K2">
    <cfRule type="containsText" dxfId="114" priority="1" operator="containsText" text="Z">
      <formula>NOT(ISERROR(SEARCH("Z",K2)))</formula>
    </cfRule>
    <cfRule type="containsText" dxfId="113"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decem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7586780-365B-4F4C-BBB4-F5991705D3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3">
    <tabColor theme="1"/>
    <pageSetUpPr fitToPage="1"/>
  </sheetPr>
  <dimension ref="B1:B8"/>
  <sheetViews>
    <sheetView showGridLines="0" workbookViewId="0">
      <selection activeCell="D15" sqref="D15"/>
    </sheetView>
  </sheetViews>
  <sheetFormatPr defaultRowHeight="30" customHeight="1" x14ac:dyDescent="0.25"/>
  <cols>
    <col min="1" max="1" width="2.7109375" customWidth="1"/>
    <col min="2" max="2" width="30.7109375" customWidth="1"/>
    <col min="3" max="3" width="2.7109375" customWidth="1"/>
  </cols>
  <sheetData>
    <row r="1" spans="2:2" ht="50.1" customHeight="1" x14ac:dyDescent="0.25">
      <c r="B1" s="15" t="s">
        <v>51</v>
      </c>
    </row>
    <row r="2" spans="2:2" ht="15" customHeight="1" x14ac:dyDescent="0.25"/>
    <row r="3" spans="2:2" ht="30" customHeight="1" x14ac:dyDescent="0.25">
      <c r="B3" t="s">
        <v>51</v>
      </c>
    </row>
    <row r="4" spans="2:2" ht="30" customHeight="1" x14ac:dyDescent="0.25">
      <c r="B4" s="16" t="s">
        <v>54</v>
      </c>
    </row>
    <row r="5" spans="2:2" ht="30" customHeight="1" x14ac:dyDescent="0.25">
      <c r="B5" s="16" t="s">
        <v>55</v>
      </c>
    </row>
    <row r="6" spans="2:2" ht="30" customHeight="1" x14ac:dyDescent="0.25">
      <c r="B6" s="16" t="s">
        <v>56</v>
      </c>
    </row>
    <row r="7" spans="2:2" ht="30" customHeight="1" x14ac:dyDescent="0.25">
      <c r="B7" s="16" t="s">
        <v>57</v>
      </c>
    </row>
    <row r="8" spans="2:2" ht="30" customHeight="1" x14ac:dyDescent="0.25">
      <c r="B8" s="16" t="s">
        <v>58</v>
      </c>
    </row>
  </sheetData>
  <dataValidations count="3">
    <dataValidation allowBlank="1" showInputMessage="1" showErrorMessage="1" prompt="Titel                                                                   werknemersnamen_x000a_              _x000a__x000a_           _x000a_                _x000a_                                                                     " sqref="B1"/>
    <dataValidation allowBlank="1" showInputMessage="1" showErrorMessage="1" prompt="Voer de namen van werknemers in de werknemerstabel in dit werkblad in. Deze namen worden gebruikt als optie in kolom B van de afwezigheidstabel van elke maand" sqref="A1"/>
    <dataValidation allowBlank="1" showInputMessage="1" showErrorMessage="1" prompt="Voer de werknemersnamen         in deze kolom in               _x000a_                                                        _x000a__x000a_" sqref="B3"/>
  </dataValidations>
  <printOptions horizontalCentered="1"/>
  <pageMargins left="0.25" right="0.25" top="0.75" bottom="0.75" header="0.3" footer="0.3"/>
  <pageSetup paperSize="9" fitToHeight="0" orientation="landscape" r:id="rId1"/>
  <headerFooter differentFirst="1">
    <oddFooter>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tabColor theme="2" tint="-0.749992370372631"/>
    <pageSetUpPr fitToPage="1"/>
  </sheetPr>
  <dimension ref="A1:AH11"/>
  <sheetViews>
    <sheetView showGridLines="0" zoomScaleNormal="100" workbookViewId="0">
      <selection activeCell="AD5" sqref="AD5"/>
    </sheetView>
  </sheetViews>
  <sheetFormatPr defaultColWidth="9.140625"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row>
    <row r="4" spans="2:34" ht="30" customHeight="1" x14ac:dyDescent="0.25">
      <c r="B4" s="7" t="s">
        <v>40</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TEXT(WEEKDAY(DATE(CalendarYear,2,1),1),"aaa")</f>
        <v>za</v>
      </c>
      <c r="D5" s="1" t="str">
        <f>TEXT(WEEKDAY(DATE(CalendarYear,2,2),1),"aaa")</f>
        <v>zo</v>
      </c>
      <c r="E5" s="1" t="str">
        <f>TEXT(WEEKDAY(DATE(CalendarYear,2,3),1),"aaa")</f>
        <v>ma</v>
      </c>
      <c r="F5" s="1" t="str">
        <f>TEXT(WEEKDAY(DATE(CalendarYear,2,4),1),"aaa")</f>
        <v>di</v>
      </c>
      <c r="G5" s="1" t="str">
        <f>TEXT(WEEKDAY(DATE(CalendarYear,2,5),1),"aaa")</f>
        <v>wo</v>
      </c>
      <c r="H5" s="1" t="str">
        <f>TEXT(WEEKDAY(DATE(CalendarYear,2,6),1),"aaa")</f>
        <v>do</v>
      </c>
      <c r="I5" s="1" t="str">
        <f>TEXT(WEEKDAY(DATE(CalendarYear,2,7),1),"aaa")</f>
        <v>vr</v>
      </c>
      <c r="J5" s="1" t="str">
        <f>TEXT(WEEKDAY(DATE(CalendarYear,2,8),1),"aaa")</f>
        <v>za</v>
      </c>
      <c r="K5" s="1" t="str">
        <f>TEXT(WEEKDAY(DATE(CalendarYear,2,9),1),"aaa")</f>
        <v>zo</v>
      </c>
      <c r="L5" s="1" t="str">
        <f>TEXT(WEEKDAY(DATE(CalendarYear,2,10),1),"aaa")</f>
        <v>ma</v>
      </c>
      <c r="M5" s="1" t="str">
        <f>TEXT(WEEKDAY(DATE(CalendarYear,2,11),1),"aaa")</f>
        <v>di</v>
      </c>
      <c r="N5" s="1" t="str">
        <f>TEXT(WEEKDAY(DATE(CalendarYear,2,12),1),"aaa")</f>
        <v>wo</v>
      </c>
      <c r="O5" s="1" t="str">
        <f>TEXT(WEEKDAY(DATE(CalendarYear,2,13),1),"aaa")</f>
        <v>do</v>
      </c>
      <c r="P5" s="1" t="str">
        <f>TEXT(WEEKDAY(DATE(CalendarYear,2,14),1),"aaa")</f>
        <v>vr</v>
      </c>
      <c r="Q5" s="1" t="str">
        <f>TEXT(WEEKDAY(DATE(CalendarYear,2,15),1),"aaa")</f>
        <v>za</v>
      </c>
      <c r="R5" s="1" t="str">
        <f>TEXT(WEEKDAY(DATE(CalendarYear,2,16),1),"aaa")</f>
        <v>zo</v>
      </c>
      <c r="S5" s="1" t="str">
        <f>TEXT(WEEKDAY(DATE(CalendarYear,2,17),1),"aaa")</f>
        <v>ma</v>
      </c>
      <c r="T5" s="1" t="str">
        <f>TEXT(WEEKDAY(DATE(CalendarYear,2,18),1),"aaa")</f>
        <v>di</v>
      </c>
      <c r="U5" s="1" t="str">
        <f>TEXT(WEEKDAY(DATE(CalendarYear,2,19),1),"aaa")</f>
        <v>wo</v>
      </c>
      <c r="V5" s="1" t="str">
        <f>TEXT(WEEKDAY(DATE(CalendarYear,2,20),1),"aaa")</f>
        <v>do</v>
      </c>
      <c r="W5" s="1" t="str">
        <f>TEXT(WEEKDAY(DATE(CalendarYear,2,21),1),"aaa")</f>
        <v>vr</v>
      </c>
      <c r="X5" s="1" t="str">
        <f>TEXT(WEEKDAY(DATE(CalendarYear,2,22),1),"aaa")</f>
        <v>za</v>
      </c>
      <c r="Y5" s="1" t="str">
        <f>TEXT(WEEKDAY(DATE(CalendarYear,2,23),1),"aaa")</f>
        <v>zo</v>
      </c>
      <c r="Z5" s="1" t="str">
        <f>TEXT(WEEKDAY(DATE(CalendarYear,2,24),1),"aaa")</f>
        <v>ma</v>
      </c>
      <c r="AA5" s="1" t="str">
        <f>TEXT(WEEKDAY(DATE(CalendarYear,2,25),1),"aaa")</f>
        <v>di</v>
      </c>
      <c r="AB5" s="1" t="str">
        <f>TEXT(WEEKDAY(DATE(CalendarYear,2,26),1),"aaa")</f>
        <v>wo</v>
      </c>
      <c r="AC5" s="1" t="str">
        <f>TEXT(WEEKDAY(DATE(CalendarYear,2,27),1),"aaa")</f>
        <v>do</v>
      </c>
      <c r="AD5" s="1" t="str">
        <f>TEXT(WEEKDAY(DATE(CalendarYear,2,28),1),"aaa")</f>
        <v>vr</v>
      </c>
      <c r="AE5" s="1" t="str">
        <f>TEXT(WEEKDAY(DATE(CalendarYear,2,29),1),"aaa")</f>
        <v>za</v>
      </c>
      <c r="AF5" s="1"/>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41</v>
      </c>
      <c r="AG6" s="2" t="s">
        <v>42</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COUNTA(Februari[[#This Row],[1]:[29]])</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COUNTA(Februari[[#This Row],[1]:[29]])</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COUNTA(Februari[[#This Row],[1]:[29]])</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COUNTA(Februari[[#This Row],[1]:[29]])</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COUNTA(Februari[[#This Row],[1]:[29]])</f>
        <v>0</v>
      </c>
    </row>
  </sheetData>
  <mergeCells count="4">
    <mergeCell ref="C4:AG4"/>
    <mergeCell ref="D2:E2"/>
    <mergeCell ref="G2:J2"/>
    <mergeCell ref="R2:U2"/>
  </mergeCells>
  <conditionalFormatting sqref="AE6">
    <cfRule type="expression" dxfId="991" priority="28">
      <formula>MONTH(DATE(CalendarYear,2,29))&lt;&gt;2</formula>
    </cfRule>
  </conditionalFormatting>
  <conditionalFormatting sqref="AE5">
    <cfRule type="expression" dxfId="990" priority="27">
      <formula>MONTH(DATE(CalendarYear,2,29))&lt;&gt;2</formula>
    </cfRule>
  </conditionalFormatting>
  <conditionalFormatting sqref="C7:AG11">
    <cfRule type="expression" priority="14" stopIfTrue="1">
      <formula>C7=""</formula>
    </cfRule>
    <cfRule type="expression" dxfId="989" priority="15" stopIfTrue="1">
      <formula>C7=KeyCustom2</formula>
    </cfRule>
  </conditionalFormatting>
  <conditionalFormatting sqref="C7:AG11">
    <cfRule type="expression" dxfId="988" priority="17" stopIfTrue="1">
      <formula>C7=KeyCustom1</formula>
    </cfRule>
    <cfRule type="expression" dxfId="987" priority="18" stopIfTrue="1">
      <formula>C7=KeySick</formula>
    </cfRule>
    <cfRule type="expression" dxfId="986" priority="19" stopIfTrue="1">
      <formula>C7=KeyPersonal</formula>
    </cfRule>
    <cfRule type="expression" dxfId="985" priority="20" stopIfTrue="1">
      <formula>C7=KeyVacation</formula>
    </cfRule>
  </conditionalFormatting>
  <conditionalFormatting sqref="AH7:AH11">
    <cfRule type="dataBar" priority="165">
      <dataBar>
        <cfvo type="min"/>
        <cfvo type="formula" val="DATEDIF(DATE(CalendarYear,2,1),DATE(CalendarYear,3,1),&quot;d&quot;)"/>
        <color theme="2" tint="-0.249977111117893"/>
      </dataBar>
      <extLst>
        <ext xmlns:x14="http://schemas.microsoft.com/office/spreadsheetml/2009/9/main" uri="{B025F937-C7B1-47D3-B67F-A62EFF666E3E}">
          <x14:id>{94738C71-AB78-40C3-A818-D083AE35CC38}</x14:id>
        </ext>
      </extLst>
    </cfRule>
  </conditionalFormatting>
  <conditionalFormatting sqref="C2">
    <cfRule type="containsText" dxfId="984" priority="2" operator="containsText" text="V">
      <formula>NOT(ISERROR(SEARCH("V",C2)))</formula>
    </cfRule>
    <cfRule type="containsText" dxfId="983" priority="3" operator="containsText" text="V">
      <formula>NOT(ISERROR(SEARCH("V",C2)))</formula>
    </cfRule>
    <cfRule type="containsText" dxfId="982" priority="9" operator="containsText" text="V">
      <formula>NOT(ISERROR(SEARCH("V",C2)))</formula>
    </cfRule>
    <cfRule type="containsText" dxfId="981" priority="10" operator="containsText" text="V">
      <formula>NOT(ISERROR(SEARCH("V",C2)))</formula>
    </cfRule>
    <cfRule type="containsText" dxfId="980" priority="11" operator="containsText" text="V">
      <formula>NOT(ISERROR(SEARCH("V",C2)))</formula>
    </cfRule>
    <cfRule type="containsText" dxfId="979" priority="12" operator="containsText" text="V">
      <formula>NOT(ISERROR(SEARCH("V",C2)))</formula>
    </cfRule>
  </conditionalFormatting>
  <conditionalFormatting sqref="F2">
    <cfRule type="containsText" dxfId="978" priority="5" operator="containsText" text="e">
      <formula>NOT(ISERROR(SEARCH("e",F2)))</formula>
    </cfRule>
    <cfRule type="cellIs" dxfId="977" priority="6" operator="equal">
      <formula>42767</formula>
    </cfRule>
    <cfRule type="containsText" dxfId="976" priority="7" operator="containsText" text="1/2">
      <formula>NOT(ISERROR(SEARCH("1/2",F2)))</formula>
    </cfRule>
    <cfRule type="containsText" dxfId="975" priority="8" operator="containsText" text="R">
      <formula>NOT(ISERROR(SEARCH("R",F2)))</formula>
    </cfRule>
  </conditionalFormatting>
  <conditionalFormatting sqref="K2">
    <cfRule type="containsText" dxfId="974" priority="1" operator="containsText" text="Z">
      <formula>NOT(ISERROR(SEARCH("Z",K2)))</formula>
    </cfRule>
    <cfRule type="containsText" dxfId="973" priority="4" operator="containsText" text="Z">
      <formula>NOT(ISERROR(SEARCH("Z",K2)))</formula>
    </cfRule>
  </conditionalFormatting>
  <dataValidations xWindow="232" yWindow="365" count="14">
    <dataValidation allowBlank="1" showInputMessage="1" showErrorMessage="1" prompt="Automatisch bijgewerkt jaar op basis van het jaar dat in het werkblad januari is ingevoerd" sqref="AH4"/>
    <dataValidation allowBlank="1" showInputMessage="1" showErrorMessage="1" prompt="Houd de afwezigheid in februar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De automatisch bijgewerkte titel is in deze cel opgenomen. Als u de titel wilt wijzigen, werk dan B1 in het januari-werkblad bij" sqref="B1"/>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4738C71-AB78-40C3-A818-D083AE35CC38}">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xWindow="232" yWindow="365" count="1">
        <x14:dataValidation type="list" allowBlank="1" showInputMessage="1" showErrorMessage="1">
          <x14:formula1>
            <xm:f>Werknemersnamen!$B$4:$B$8</xm:f>
          </x14:formula1>
          <xm:sqref>B7:B11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43</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TEXT(WEEKDAY(DATE(CalendarYear,3,1),1),"aaa")</f>
        <v>zo</v>
      </c>
      <c r="D5" s="1" t="str">
        <f>TEXT(WEEKDAY(DATE(CalendarYear,3,2),1),"aaa")</f>
        <v>ma</v>
      </c>
      <c r="E5" s="1" t="str">
        <f>TEXT(WEEKDAY(DATE(CalendarYear,3,3),1),"aaa")</f>
        <v>di</v>
      </c>
      <c r="F5" s="1" t="str">
        <f>TEXT(WEEKDAY(DATE(CalendarYear,3,4),1),"aaa")</f>
        <v>wo</v>
      </c>
      <c r="G5" s="1" t="str">
        <f>TEXT(WEEKDAY(DATE(CalendarYear,3,5),1),"aaa")</f>
        <v>do</v>
      </c>
      <c r="H5" s="1" t="str">
        <f>TEXT(WEEKDAY(DATE(CalendarYear,3,6),1),"aaa")</f>
        <v>vr</v>
      </c>
      <c r="I5" s="1" t="str">
        <f>TEXT(WEEKDAY(DATE(CalendarYear,3,7),1),"aaa")</f>
        <v>za</v>
      </c>
      <c r="J5" s="1" t="str">
        <f>TEXT(WEEKDAY(DATE(CalendarYear,3,8),1),"aaa")</f>
        <v>zo</v>
      </c>
      <c r="K5" s="1" t="str">
        <f>TEXT(WEEKDAY(DATE(CalendarYear,3,9),1),"aaa")</f>
        <v>ma</v>
      </c>
      <c r="L5" s="1" t="str">
        <f>TEXT(WEEKDAY(DATE(CalendarYear,3,10),1),"aaa")</f>
        <v>di</v>
      </c>
      <c r="M5" s="1" t="str">
        <f>TEXT(WEEKDAY(DATE(CalendarYear,3,11),1),"aaa")</f>
        <v>wo</v>
      </c>
      <c r="N5" s="1" t="str">
        <f>TEXT(WEEKDAY(DATE(CalendarYear,3,12),1),"aaa")</f>
        <v>do</v>
      </c>
      <c r="O5" s="1" t="str">
        <f>TEXT(WEEKDAY(DATE(CalendarYear,3,13),1),"aaa")</f>
        <v>vr</v>
      </c>
      <c r="P5" s="1" t="str">
        <f>TEXT(WEEKDAY(DATE(CalendarYear,3,14),1),"aaa")</f>
        <v>za</v>
      </c>
      <c r="Q5" s="1" t="str">
        <f>TEXT(WEEKDAY(DATE(CalendarYear,3,15),1),"aaa")</f>
        <v>zo</v>
      </c>
      <c r="R5" s="1" t="str">
        <f>TEXT(WEEKDAY(DATE(CalendarYear,3,16),1),"aaa")</f>
        <v>ma</v>
      </c>
      <c r="S5" s="1" t="str">
        <f>TEXT(WEEKDAY(DATE(CalendarYear,3,17),1),"aaa")</f>
        <v>di</v>
      </c>
      <c r="T5" s="1" t="str">
        <f>TEXT(WEEKDAY(DATE(CalendarYear,3,18),1),"aaa")</f>
        <v>wo</v>
      </c>
      <c r="U5" s="1" t="str">
        <f>TEXT(WEEKDAY(DATE(CalendarYear,3,19),1),"aaa")</f>
        <v>do</v>
      </c>
      <c r="V5" s="1" t="str">
        <f>TEXT(WEEKDAY(DATE(CalendarYear,3,20),1),"aaa")</f>
        <v>vr</v>
      </c>
      <c r="W5" s="1" t="str">
        <f>TEXT(WEEKDAY(DATE(CalendarYear,3,21),1),"aaa")</f>
        <v>za</v>
      </c>
      <c r="X5" s="1" t="str">
        <f>TEXT(WEEKDAY(DATE(CalendarYear,3,22),1),"aaa")</f>
        <v>zo</v>
      </c>
      <c r="Y5" s="1" t="str">
        <f>TEXT(WEEKDAY(DATE(CalendarYear,3,23),1),"aaa")</f>
        <v>ma</v>
      </c>
      <c r="Z5" s="1" t="str">
        <f>TEXT(WEEKDAY(DATE(CalendarYear,3,24),1),"aaa")</f>
        <v>di</v>
      </c>
      <c r="AA5" s="1" t="str">
        <f>TEXT(WEEKDAY(DATE(CalendarYear,3,25),1),"aaa")</f>
        <v>wo</v>
      </c>
      <c r="AB5" s="1" t="str">
        <f>TEXT(WEEKDAY(DATE(CalendarYear,3,26),1),"aaa")</f>
        <v>do</v>
      </c>
      <c r="AC5" s="1" t="str">
        <f>TEXT(WEEKDAY(DATE(CalendarYear,3,27),1),"aaa")</f>
        <v>vr</v>
      </c>
      <c r="AD5" s="1" t="str">
        <f>TEXT(WEEKDAY(DATE(CalendarYear,3,28),1),"aaa")</f>
        <v>za</v>
      </c>
      <c r="AE5" s="1" t="str">
        <f>TEXT(WEEKDAY(DATE(CalendarYear,3,29),1),"aaa")</f>
        <v>zo</v>
      </c>
      <c r="AF5" s="1" t="str">
        <f>TEXT(WEEKDAY(DATE(CalendarYear,3,30),1),"aaa")</f>
        <v>ma</v>
      </c>
      <c r="AG5" s="1" t="str">
        <f>TEXT(WEEKDAY(DATE(CalendarYear,3,31),1),"aaa")</f>
        <v>di</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COUNTA(Maart[[#This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COUNTA(Maart[[#This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COUNTA(Maart[[#This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COUNTA(Maart[[#This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COUNTA(Maart[[#This Row],[1]:[31]])</f>
        <v>0</v>
      </c>
    </row>
    <row r="12" spans="2:34" ht="30" customHeight="1" x14ac:dyDescent="0.25">
      <c r="B12" s="14" t="str">
        <f>MonthName&amp;" totaal"</f>
        <v>Maart totaal</v>
      </c>
      <c r="C12" s="8">
        <f>SUBTOTAL(103,Maart[1])</f>
        <v>0</v>
      </c>
      <c r="D12" s="8">
        <f>SUBTOTAL(103,Maart[2])</f>
        <v>0</v>
      </c>
      <c r="E12" s="8">
        <f>SUBTOTAL(103,Maart[3])</f>
        <v>0</v>
      </c>
      <c r="F12" s="8">
        <f>SUBTOTAL(103,Maart[4])</f>
        <v>0</v>
      </c>
      <c r="G12" s="8">
        <f>SUBTOTAL(103,Maart[5])</f>
        <v>0</v>
      </c>
      <c r="H12" s="8">
        <f>SUBTOTAL(103,Maart[6])</f>
        <v>0</v>
      </c>
      <c r="I12" s="8">
        <f>SUBTOTAL(103,Maart[7])</f>
        <v>0</v>
      </c>
      <c r="J12" s="8">
        <f>SUBTOTAL(103,Maart[8])</f>
        <v>0</v>
      </c>
      <c r="K12" s="8">
        <f>SUBTOTAL(103,Maart[9])</f>
        <v>0</v>
      </c>
      <c r="L12" s="8">
        <f>SUBTOTAL(103,Maart[10])</f>
        <v>0</v>
      </c>
      <c r="M12" s="8">
        <f>SUBTOTAL(103,Maart[11])</f>
        <v>0</v>
      </c>
      <c r="N12" s="8">
        <f>SUBTOTAL(103,Maart[12])</f>
        <v>0</v>
      </c>
      <c r="O12" s="8">
        <f>SUBTOTAL(103,Maart[13])</f>
        <v>0</v>
      </c>
      <c r="P12" s="8">
        <f>SUBTOTAL(103,Maart[14])</f>
        <v>0</v>
      </c>
      <c r="Q12" s="8">
        <f>SUBTOTAL(103,Maart[15])</f>
        <v>0</v>
      </c>
      <c r="R12" s="8">
        <f>SUBTOTAL(103,Maart[16])</f>
        <v>0</v>
      </c>
      <c r="S12" s="8">
        <f>SUBTOTAL(103,Maart[17])</f>
        <v>0</v>
      </c>
      <c r="T12" s="8">
        <f>SUBTOTAL(103,Maart[18])</f>
        <v>0</v>
      </c>
      <c r="U12" s="8">
        <f>SUBTOTAL(103,Maart[19])</f>
        <v>0</v>
      </c>
      <c r="V12" s="8">
        <f>SUBTOTAL(103,Maart[20])</f>
        <v>0</v>
      </c>
      <c r="W12" s="8">
        <f>SUBTOTAL(103,Maart[21])</f>
        <v>0</v>
      </c>
      <c r="X12" s="8">
        <f>SUBTOTAL(103,Maart[22])</f>
        <v>0</v>
      </c>
      <c r="Y12" s="8">
        <f>SUBTOTAL(103,Maart[23])</f>
        <v>0</v>
      </c>
      <c r="Z12" s="8">
        <f>SUBTOTAL(103,Maart[24])</f>
        <v>0</v>
      </c>
      <c r="AA12" s="8">
        <f>SUBTOTAL(103,Maart[25])</f>
        <v>0</v>
      </c>
      <c r="AB12" s="8">
        <f>SUBTOTAL(103,Maart[26])</f>
        <v>0</v>
      </c>
      <c r="AC12" s="8">
        <f>SUBTOTAL(103,Maart[27])</f>
        <v>0</v>
      </c>
      <c r="AD12" s="8">
        <f>SUBTOTAL(103,Maart[28])</f>
        <v>0</v>
      </c>
      <c r="AE12" s="8">
        <f>SUBTOTAL(103,Maart[29])</f>
        <v>0</v>
      </c>
      <c r="AF12" s="8">
        <f>SUBTOTAL(109,Maart[30])</f>
        <v>0</v>
      </c>
      <c r="AG12" s="8">
        <f>SUBTOTAL(109,Maart[31])</f>
        <v>0</v>
      </c>
      <c r="AH12" s="8">
        <f>SUBTOTAL(109,Maart[Totaal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903" priority="14" stopIfTrue="1">
      <formula>C7=KeyCustom2</formula>
    </cfRule>
    <cfRule type="expression" dxfId="902" priority="15" stopIfTrue="1">
      <formula>C7=KeyCustom1</formula>
    </cfRule>
    <cfRule type="expression" dxfId="901" priority="16" stopIfTrue="1">
      <formula>C7=KeySick</formula>
    </cfRule>
    <cfRule type="expression" dxfId="900" priority="17" stopIfTrue="1">
      <formula>C7=KeyPersonal</formula>
    </cfRule>
    <cfRule type="expression" dxfId="899"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{7C2B6C3E-666E-4369-8C57-FD32A7D03A3C}</x14:id>
        </ext>
      </extLst>
    </cfRule>
  </conditionalFormatting>
  <conditionalFormatting sqref="C2">
    <cfRule type="containsText" dxfId="898" priority="2" operator="containsText" text="V">
      <formula>NOT(ISERROR(SEARCH("V",C2)))</formula>
    </cfRule>
    <cfRule type="containsText" dxfId="897" priority="3" operator="containsText" text="V">
      <formula>NOT(ISERROR(SEARCH("V",C2)))</formula>
    </cfRule>
    <cfRule type="containsText" dxfId="896" priority="9" operator="containsText" text="V">
      <formula>NOT(ISERROR(SEARCH("V",C2)))</formula>
    </cfRule>
    <cfRule type="containsText" dxfId="895" priority="10" operator="containsText" text="V">
      <formula>NOT(ISERROR(SEARCH("V",C2)))</formula>
    </cfRule>
    <cfRule type="containsText" dxfId="894" priority="11" operator="containsText" text="V">
      <formula>NOT(ISERROR(SEARCH("V",C2)))</formula>
    </cfRule>
    <cfRule type="containsText" dxfId="893" priority="12" operator="containsText" text="V">
      <formula>NOT(ISERROR(SEARCH("V",C2)))</formula>
    </cfRule>
  </conditionalFormatting>
  <conditionalFormatting sqref="F2">
    <cfRule type="containsText" dxfId="892" priority="5" operator="containsText" text="e">
      <formula>NOT(ISERROR(SEARCH("e",F2)))</formula>
    </cfRule>
    <cfRule type="cellIs" dxfId="891" priority="6" operator="equal">
      <formula>42767</formula>
    </cfRule>
    <cfRule type="containsText" dxfId="890" priority="7" operator="containsText" text="1/2">
      <formula>NOT(ISERROR(SEARCH("1/2",F2)))</formula>
    </cfRule>
    <cfRule type="containsText" dxfId="889" priority="8" operator="containsText" text="R">
      <formula>NOT(ISERROR(SEARCH("R",F2)))</formula>
    </cfRule>
  </conditionalFormatting>
  <conditionalFormatting sqref="K2">
    <cfRule type="containsText" dxfId="888" priority="1" operator="containsText" text="Z">
      <formula>NOT(ISERROR(SEARCH("Z",K2)))</formula>
    </cfRule>
    <cfRule type="containsText" dxfId="887"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aart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7C2B6C3E-666E-4369-8C57-FD32A7D03A3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44</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TEXT(WEEKDAY(DATE(CalendarYear,4,1),1),"aaa")</f>
        <v>wo</v>
      </c>
      <c r="D5" s="1" t="str">
        <f>TEXT(WEEKDAY(DATE(CalendarYear,4,2),1),"aaa")</f>
        <v>do</v>
      </c>
      <c r="E5" s="1" t="str">
        <f>TEXT(WEEKDAY(DATE(CalendarYear,4,3),1),"aaa")</f>
        <v>vr</v>
      </c>
      <c r="F5" s="1" t="str">
        <f>TEXT(WEEKDAY(DATE(CalendarYear,4,4),1),"aaa")</f>
        <v>za</v>
      </c>
      <c r="G5" s="1" t="str">
        <f>TEXT(WEEKDAY(DATE(CalendarYear,4,5),1),"aaa")</f>
        <v>zo</v>
      </c>
      <c r="H5" s="1" t="str">
        <f>TEXT(WEEKDAY(DATE(CalendarYear,4,6),1),"aaa")</f>
        <v>ma</v>
      </c>
      <c r="I5" s="1" t="str">
        <f>TEXT(WEEKDAY(DATE(CalendarYear,4,7),1),"aaa")</f>
        <v>di</v>
      </c>
      <c r="J5" s="1" t="str">
        <f>TEXT(WEEKDAY(DATE(CalendarYear,4,8),1),"aaa")</f>
        <v>wo</v>
      </c>
      <c r="K5" s="1" t="str">
        <f>TEXT(WEEKDAY(DATE(CalendarYear,4,9),1),"aaa")</f>
        <v>do</v>
      </c>
      <c r="L5" s="1" t="str">
        <f>TEXT(WEEKDAY(DATE(CalendarYear,4,10),1),"aaa")</f>
        <v>vr</v>
      </c>
      <c r="M5" s="1" t="str">
        <f>TEXT(WEEKDAY(DATE(CalendarYear,4,11),1),"aaa")</f>
        <v>za</v>
      </c>
      <c r="N5" s="1" t="str">
        <f>TEXT(WEEKDAY(DATE(CalendarYear,4,12),1),"aaa")</f>
        <v>zo</v>
      </c>
      <c r="O5" s="1" t="str">
        <f>TEXT(WEEKDAY(DATE(CalendarYear,4,13),1),"aaa")</f>
        <v>ma</v>
      </c>
      <c r="P5" s="1" t="str">
        <f>TEXT(WEEKDAY(DATE(CalendarYear,4,14),1),"aaa")</f>
        <v>di</v>
      </c>
      <c r="Q5" s="1" t="str">
        <f>TEXT(WEEKDAY(DATE(CalendarYear,4,15),1),"aaa")</f>
        <v>wo</v>
      </c>
      <c r="R5" s="1" t="str">
        <f>TEXT(WEEKDAY(DATE(CalendarYear,4,16),1),"aaa")</f>
        <v>do</v>
      </c>
      <c r="S5" s="1" t="str">
        <f>TEXT(WEEKDAY(DATE(CalendarYear,4,17),1),"aaa")</f>
        <v>vr</v>
      </c>
      <c r="T5" s="1" t="str">
        <f>TEXT(WEEKDAY(DATE(CalendarYear,4,18),1),"aaa")</f>
        <v>za</v>
      </c>
      <c r="U5" s="1" t="str">
        <f>TEXT(WEEKDAY(DATE(CalendarYear,4,19),1),"aaa")</f>
        <v>zo</v>
      </c>
      <c r="V5" s="1" t="str">
        <f>TEXT(WEEKDAY(DATE(CalendarYear,4,20),1),"aaa")</f>
        <v>ma</v>
      </c>
      <c r="W5" s="1" t="str">
        <f>TEXT(WEEKDAY(DATE(CalendarYear,4,21),1),"aaa")</f>
        <v>di</v>
      </c>
      <c r="X5" s="1" t="str">
        <f>TEXT(WEEKDAY(DATE(CalendarYear,4,22),1),"aaa")</f>
        <v>wo</v>
      </c>
      <c r="Y5" s="1" t="str">
        <f>TEXT(WEEKDAY(DATE(CalendarYear,4,23),1),"aaa")</f>
        <v>do</v>
      </c>
      <c r="Z5" s="1" t="str">
        <f>TEXT(WEEKDAY(DATE(CalendarYear,4,24),1),"aaa")</f>
        <v>vr</v>
      </c>
      <c r="AA5" s="1" t="str">
        <f>TEXT(WEEKDAY(DATE(CalendarYear,4,25),1),"aaa")</f>
        <v>za</v>
      </c>
      <c r="AB5" s="1" t="str">
        <f>TEXT(WEEKDAY(DATE(CalendarYear,4,26),1),"aaa")</f>
        <v>zo</v>
      </c>
      <c r="AC5" s="1" t="str">
        <f>TEXT(WEEKDAY(DATE(CalendarYear,4,27),1),"aaa")</f>
        <v>ma</v>
      </c>
      <c r="AD5" s="1" t="str">
        <f>TEXT(WEEKDAY(DATE(CalendarYear,4,28),1),"aaa")</f>
        <v>di</v>
      </c>
      <c r="AE5" s="1" t="str">
        <f>TEXT(WEEKDAY(DATE(CalendarYear,4,29),1),"aaa")</f>
        <v>wo</v>
      </c>
      <c r="AF5" s="1" t="str">
        <f>TEXT(WEEKDAY(DATE(CalendarYear,4,30),1),"aaa")</f>
        <v>do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COUNTA(April[[#This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COUNTA(April[[#This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COUNTA(April[[#This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COUNTA(April[[#This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COUNTA(April[[#This Row],[1]:[31]])</f>
        <v>0</v>
      </c>
    </row>
    <row r="12" spans="2:34" ht="30" customHeight="1" x14ac:dyDescent="0.25">
      <c r="B12" s="14" t="str">
        <f>MonthName&amp;" totaal"</f>
        <v>April totaal</v>
      </c>
      <c r="C12" s="8">
        <f>SUBTOTAL(103,April[1])</f>
        <v>0</v>
      </c>
      <c r="D12" s="8">
        <f>SUBTOTAL(103,April[2])</f>
        <v>0</v>
      </c>
      <c r="E12" s="8">
        <f>SUBTOTAL(103,April[3])</f>
        <v>0</v>
      </c>
      <c r="F12" s="8">
        <f>SUBTOTAL(103,April[4])</f>
        <v>0</v>
      </c>
      <c r="G12" s="8">
        <f>SUBTOTAL(103,April[5])</f>
        <v>0</v>
      </c>
      <c r="H12" s="8">
        <f>SUBTOTAL(103,April[6])</f>
        <v>0</v>
      </c>
      <c r="I12" s="8">
        <f>SUBTOTAL(103,April[7])</f>
        <v>0</v>
      </c>
      <c r="J12" s="8">
        <f>SUBTOTAL(103,April[8])</f>
        <v>0</v>
      </c>
      <c r="K12" s="8">
        <f>SUBTOTAL(103,April[9])</f>
        <v>0</v>
      </c>
      <c r="L12" s="8">
        <f>SUBTOTAL(103,April[10])</f>
        <v>0</v>
      </c>
      <c r="M12" s="8">
        <f>SUBTOTAL(103,April[11])</f>
        <v>0</v>
      </c>
      <c r="N12" s="8">
        <f>SUBTOTAL(103,April[12])</f>
        <v>0</v>
      </c>
      <c r="O12" s="8">
        <f>SUBTOTAL(103,April[13])</f>
        <v>0</v>
      </c>
      <c r="P12" s="8">
        <f>SUBTOTAL(103,April[14])</f>
        <v>0</v>
      </c>
      <c r="Q12" s="8">
        <f>SUBTOTAL(103,April[15])</f>
        <v>0</v>
      </c>
      <c r="R12" s="8">
        <f>SUBTOTAL(103,April[16])</f>
        <v>0</v>
      </c>
      <c r="S12" s="8">
        <f>SUBTOTAL(103,April[17])</f>
        <v>0</v>
      </c>
      <c r="T12" s="8">
        <f>SUBTOTAL(103,April[18])</f>
        <v>0</v>
      </c>
      <c r="U12" s="8">
        <f>SUBTOTAL(103,April[19])</f>
        <v>0</v>
      </c>
      <c r="V12" s="8">
        <f>SUBTOTAL(103,April[20])</f>
        <v>0</v>
      </c>
      <c r="W12" s="8">
        <f>SUBTOTAL(103,April[21])</f>
        <v>0</v>
      </c>
      <c r="X12" s="8">
        <f>SUBTOTAL(103,April[22])</f>
        <v>0</v>
      </c>
      <c r="Y12" s="8">
        <f>SUBTOTAL(103,April[23])</f>
        <v>0</v>
      </c>
      <c r="Z12" s="8">
        <f>SUBTOTAL(103,April[24])</f>
        <v>0</v>
      </c>
      <c r="AA12" s="8">
        <f>SUBTOTAL(103,April[25])</f>
        <v>0</v>
      </c>
      <c r="AB12" s="8">
        <f>SUBTOTAL(103,April[26])</f>
        <v>0</v>
      </c>
      <c r="AC12" s="8">
        <f>SUBTOTAL(103,April[27])</f>
        <v>0</v>
      </c>
      <c r="AD12" s="8">
        <f>SUBTOTAL(103,April[28])</f>
        <v>0</v>
      </c>
      <c r="AE12" s="8">
        <f>SUBTOTAL(103,April[29])</f>
        <v>0</v>
      </c>
      <c r="AF12" s="8">
        <f>SUBTOTAL(109,April[30])</f>
        <v>0</v>
      </c>
      <c r="AG12" s="8">
        <f>SUBTOTAL(109,April[31])</f>
        <v>0</v>
      </c>
      <c r="AH12" s="8">
        <f>SUBTOTAL(109,April[Totaal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17" priority="14" stopIfTrue="1">
      <formula>C7=KeyCustom2</formula>
    </cfRule>
    <cfRule type="expression" dxfId="816" priority="15" stopIfTrue="1">
      <formula>C7=KeyCustom1</formula>
    </cfRule>
    <cfRule type="expression" dxfId="815" priority="16" stopIfTrue="1">
      <formula>C7=KeySick</formula>
    </cfRule>
    <cfRule type="expression" dxfId="814" priority="17" stopIfTrue="1">
      <formula>C7=KeyPersonal</formula>
    </cfRule>
    <cfRule type="expression" dxfId="813"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{0C86709F-D813-4066-A3F1-C30F11214F4B}</x14:id>
        </ext>
      </extLst>
    </cfRule>
  </conditionalFormatting>
  <conditionalFormatting sqref="C2">
    <cfRule type="containsText" dxfId="812" priority="2" operator="containsText" text="V">
      <formula>NOT(ISERROR(SEARCH("V",C2)))</formula>
    </cfRule>
    <cfRule type="containsText" dxfId="811" priority="3" operator="containsText" text="V">
      <formula>NOT(ISERROR(SEARCH("V",C2)))</formula>
    </cfRule>
    <cfRule type="containsText" dxfId="810" priority="9" operator="containsText" text="V">
      <formula>NOT(ISERROR(SEARCH("V",C2)))</formula>
    </cfRule>
    <cfRule type="containsText" dxfId="809" priority="10" operator="containsText" text="V">
      <formula>NOT(ISERROR(SEARCH("V",C2)))</formula>
    </cfRule>
    <cfRule type="containsText" dxfId="808" priority="11" operator="containsText" text="V">
      <formula>NOT(ISERROR(SEARCH("V",C2)))</formula>
    </cfRule>
    <cfRule type="containsText" dxfId="807" priority="12" operator="containsText" text="V">
      <formula>NOT(ISERROR(SEARCH("V",C2)))</formula>
    </cfRule>
  </conditionalFormatting>
  <conditionalFormatting sqref="F2">
    <cfRule type="containsText" dxfId="806" priority="5" operator="containsText" text="e">
      <formula>NOT(ISERROR(SEARCH("e",F2)))</formula>
    </cfRule>
    <cfRule type="cellIs" dxfId="805" priority="6" operator="equal">
      <formula>42767</formula>
    </cfRule>
    <cfRule type="containsText" dxfId="804" priority="7" operator="containsText" text="1/2">
      <formula>NOT(ISERROR(SEARCH("1/2",F2)))</formula>
    </cfRule>
    <cfRule type="containsText" dxfId="803" priority="8" operator="containsText" text="R">
      <formula>NOT(ISERROR(SEARCH("R",F2)))</formula>
    </cfRule>
  </conditionalFormatting>
  <conditionalFormatting sqref="K2">
    <cfRule type="containsText" dxfId="802" priority="1" operator="containsText" text="Z">
      <formula>NOT(ISERROR(SEARCH("Z",K2)))</formula>
    </cfRule>
    <cfRule type="containsText" dxfId="801"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pril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C86709F-D813-4066-A3F1-C30F11214F4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tabColor theme="2" tint="-9.9978637043366805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52</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TEXT(WEEKDAY(DATE(CalendarYear,5,1),1),"aaa")</f>
        <v>vr</v>
      </c>
      <c r="D5" s="1" t="str">
        <f>TEXT(WEEKDAY(DATE(CalendarYear,5,2),1),"aaa")</f>
        <v>za</v>
      </c>
      <c r="E5" s="1" t="str">
        <f>TEXT(WEEKDAY(DATE(CalendarYear,5,3),1),"aaa")</f>
        <v>zo</v>
      </c>
      <c r="F5" s="1" t="str">
        <f>TEXT(WEEKDAY(DATE(CalendarYear,5,4),1),"aaa")</f>
        <v>ma</v>
      </c>
      <c r="G5" s="1" t="str">
        <f>TEXT(WEEKDAY(DATE(CalendarYear,5,5),1),"aaa")</f>
        <v>di</v>
      </c>
      <c r="H5" s="1" t="str">
        <f>TEXT(WEEKDAY(DATE(CalendarYear,5,6),1),"aaa")</f>
        <v>wo</v>
      </c>
      <c r="I5" s="1" t="str">
        <f>TEXT(WEEKDAY(DATE(CalendarYear,5,7),1),"aaa")</f>
        <v>do</v>
      </c>
      <c r="J5" s="1" t="str">
        <f>TEXT(WEEKDAY(DATE(CalendarYear,5,8),1),"aaa")</f>
        <v>vr</v>
      </c>
      <c r="K5" s="1" t="str">
        <f>TEXT(WEEKDAY(DATE(CalendarYear,5,9),1),"aaa")</f>
        <v>za</v>
      </c>
      <c r="L5" s="1" t="str">
        <f>TEXT(WEEKDAY(DATE(CalendarYear,5,10),1),"aaa")</f>
        <v>zo</v>
      </c>
      <c r="M5" s="1" t="str">
        <f>TEXT(WEEKDAY(DATE(CalendarYear,5,11),1),"aaa")</f>
        <v>ma</v>
      </c>
      <c r="N5" s="1" t="str">
        <f>TEXT(WEEKDAY(DATE(CalendarYear,5,12),1),"aaa")</f>
        <v>di</v>
      </c>
      <c r="O5" s="1" t="str">
        <f>TEXT(WEEKDAY(DATE(CalendarYear,5,13),1),"aaa")</f>
        <v>wo</v>
      </c>
      <c r="P5" s="1" t="str">
        <f>TEXT(WEEKDAY(DATE(CalendarYear,5,14),1),"aaa")</f>
        <v>do</v>
      </c>
      <c r="Q5" s="1" t="str">
        <f>TEXT(WEEKDAY(DATE(CalendarYear,5,15),1),"aaa")</f>
        <v>vr</v>
      </c>
      <c r="R5" s="1" t="str">
        <f>TEXT(WEEKDAY(DATE(CalendarYear,5,16),1),"aaa")</f>
        <v>za</v>
      </c>
      <c r="S5" s="1" t="str">
        <f>TEXT(WEEKDAY(DATE(CalendarYear,5,17),1),"aaa")</f>
        <v>zo</v>
      </c>
      <c r="T5" s="1" t="str">
        <f>TEXT(WEEKDAY(DATE(CalendarYear,5,18),1),"aaa")</f>
        <v>ma</v>
      </c>
      <c r="U5" s="1" t="str">
        <f>TEXT(WEEKDAY(DATE(CalendarYear,5,19),1),"aaa")</f>
        <v>di</v>
      </c>
      <c r="V5" s="1" t="str">
        <f>TEXT(WEEKDAY(DATE(CalendarYear,5,20),1),"aaa")</f>
        <v>wo</v>
      </c>
      <c r="W5" s="1" t="str">
        <f>TEXT(WEEKDAY(DATE(CalendarYear,5,21),1),"aaa")</f>
        <v>do</v>
      </c>
      <c r="X5" s="1" t="str">
        <f>TEXT(WEEKDAY(DATE(CalendarYear,5,22),1),"aaa")</f>
        <v>vr</v>
      </c>
      <c r="Y5" s="1" t="str">
        <f>TEXT(WEEKDAY(DATE(CalendarYear,5,23),1),"aaa")</f>
        <v>za</v>
      </c>
      <c r="Z5" s="1" t="str">
        <f>TEXT(WEEKDAY(DATE(CalendarYear,5,24),1),"aaa")</f>
        <v>zo</v>
      </c>
      <c r="AA5" s="1" t="str">
        <f>TEXT(WEEKDAY(DATE(CalendarYear,5,25),1),"aaa")</f>
        <v>ma</v>
      </c>
      <c r="AB5" s="1" t="str">
        <f>TEXT(WEEKDAY(DATE(CalendarYear,5,26),1),"aaa")</f>
        <v>di</v>
      </c>
      <c r="AC5" s="1" t="str">
        <f>TEXT(WEEKDAY(DATE(CalendarYear,5,27),1),"aaa")</f>
        <v>wo</v>
      </c>
      <c r="AD5" s="1" t="str">
        <f>TEXT(WEEKDAY(DATE(CalendarYear,5,28),1),"aaa")</f>
        <v>do</v>
      </c>
      <c r="AE5" s="1" t="str">
        <f>TEXT(WEEKDAY(DATE(CalendarYear,5,29),1),"aaa")</f>
        <v>vr</v>
      </c>
      <c r="AF5" s="1" t="str">
        <f>TEXT(WEEKDAY(DATE(CalendarYear,5,30),1),"aaa")</f>
        <v>za</v>
      </c>
      <c r="AG5" s="1" t="str">
        <f>TEXT(WEEKDAY(DATE(CalendarYear,5,31),1),"aaa")</f>
        <v>zo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COUNTA(Mei[[#This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COUNTA(Mei[[#This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COUNTA(Mei[[#This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COUNTA(Mei[[#This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COUNTA(Mei[[#This Row],[1]:[31]])</f>
        <v>0</v>
      </c>
    </row>
    <row r="12" spans="2:34" ht="30" customHeight="1" x14ac:dyDescent="0.25">
      <c r="B12" s="14" t="str">
        <f>MonthName&amp;" totaal"</f>
        <v>Mei totaal</v>
      </c>
      <c r="C12" s="8">
        <f>SUBTOTAL(103,Mei[1])</f>
        <v>0</v>
      </c>
      <c r="D12" s="8">
        <f>SUBTOTAL(103,Mei[2])</f>
        <v>0</v>
      </c>
      <c r="E12" s="8">
        <f>SUBTOTAL(103,Mei[3])</f>
        <v>0</v>
      </c>
      <c r="F12" s="8">
        <f>SUBTOTAL(103,Mei[4])</f>
        <v>0</v>
      </c>
      <c r="G12" s="8">
        <f>SUBTOTAL(103,Mei[5])</f>
        <v>0</v>
      </c>
      <c r="H12" s="8">
        <f>SUBTOTAL(103,Mei[6])</f>
        <v>0</v>
      </c>
      <c r="I12" s="8">
        <f>SUBTOTAL(103,Mei[7])</f>
        <v>0</v>
      </c>
      <c r="J12" s="8">
        <f>SUBTOTAL(103,Mei[8])</f>
        <v>0</v>
      </c>
      <c r="K12" s="8">
        <f>SUBTOTAL(103,Mei[9])</f>
        <v>0</v>
      </c>
      <c r="L12" s="8">
        <f>SUBTOTAL(103,Mei[10])</f>
        <v>0</v>
      </c>
      <c r="M12" s="8">
        <f>SUBTOTAL(103,Mei[11])</f>
        <v>0</v>
      </c>
      <c r="N12" s="8">
        <f>SUBTOTAL(103,Mei[12])</f>
        <v>0</v>
      </c>
      <c r="O12" s="8">
        <f>SUBTOTAL(103,Mei[13])</f>
        <v>0</v>
      </c>
      <c r="P12" s="8">
        <f>SUBTOTAL(103,Mei[14])</f>
        <v>0</v>
      </c>
      <c r="Q12" s="8">
        <f>SUBTOTAL(103,Mei[15])</f>
        <v>0</v>
      </c>
      <c r="R12" s="8">
        <f>SUBTOTAL(103,Mei[16])</f>
        <v>0</v>
      </c>
      <c r="S12" s="8">
        <f>SUBTOTAL(103,Mei[17])</f>
        <v>0</v>
      </c>
      <c r="T12" s="8">
        <f>SUBTOTAL(103,Mei[18])</f>
        <v>0</v>
      </c>
      <c r="U12" s="8">
        <f>SUBTOTAL(103,Mei[19])</f>
        <v>0</v>
      </c>
      <c r="V12" s="8">
        <f>SUBTOTAL(103,Mei[20])</f>
        <v>0</v>
      </c>
      <c r="W12" s="8">
        <f>SUBTOTAL(103,Mei[21])</f>
        <v>0</v>
      </c>
      <c r="X12" s="8">
        <f>SUBTOTAL(103,Mei[22])</f>
        <v>0</v>
      </c>
      <c r="Y12" s="8">
        <f>SUBTOTAL(103,Mei[23])</f>
        <v>0</v>
      </c>
      <c r="Z12" s="8">
        <f>SUBTOTAL(103,Mei[24])</f>
        <v>0</v>
      </c>
      <c r="AA12" s="8">
        <f>SUBTOTAL(103,Mei[25])</f>
        <v>0</v>
      </c>
      <c r="AB12" s="8">
        <f>SUBTOTAL(103,Mei[26])</f>
        <v>0</v>
      </c>
      <c r="AC12" s="8">
        <f>SUBTOTAL(103,Mei[27])</f>
        <v>0</v>
      </c>
      <c r="AD12" s="8">
        <f>SUBTOTAL(103,Mei[28])</f>
        <v>0</v>
      </c>
      <c r="AE12" s="8">
        <f>SUBTOTAL(103,Mei[29])</f>
        <v>0</v>
      </c>
      <c r="AF12" s="8">
        <f>SUBTOTAL(109,Mei[30])</f>
        <v>0</v>
      </c>
      <c r="AG12" s="8">
        <f>SUBTOTAL(109,Mei[31])</f>
        <v>0</v>
      </c>
      <c r="AH12" s="8">
        <f>SUBTOTAL(109,Mei[Totaal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731" priority="14" stopIfTrue="1">
      <formula>C7=KeyCustom2</formula>
    </cfRule>
    <cfRule type="expression" dxfId="730" priority="15" stopIfTrue="1">
      <formula>C7=KeyCustom1</formula>
    </cfRule>
    <cfRule type="expression" dxfId="729" priority="16" stopIfTrue="1">
      <formula>C7=KeySick</formula>
    </cfRule>
    <cfRule type="expression" dxfId="728" priority="17" stopIfTrue="1">
      <formula>C7=KeyPersonal</formula>
    </cfRule>
    <cfRule type="expression" dxfId="727"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{5670947F-8B3C-4A6C-A280-4F5E10811DCE}</x14:id>
        </ext>
      </extLst>
    </cfRule>
  </conditionalFormatting>
  <conditionalFormatting sqref="C2">
    <cfRule type="containsText" dxfId="726" priority="2" operator="containsText" text="V">
      <formula>NOT(ISERROR(SEARCH("V",C2)))</formula>
    </cfRule>
    <cfRule type="containsText" dxfId="725" priority="3" operator="containsText" text="V">
      <formula>NOT(ISERROR(SEARCH("V",C2)))</formula>
    </cfRule>
    <cfRule type="containsText" dxfId="724" priority="9" operator="containsText" text="V">
      <formula>NOT(ISERROR(SEARCH("V",C2)))</formula>
    </cfRule>
    <cfRule type="containsText" dxfId="723" priority="10" operator="containsText" text="V">
      <formula>NOT(ISERROR(SEARCH("V",C2)))</formula>
    </cfRule>
    <cfRule type="containsText" dxfId="722" priority="11" operator="containsText" text="V">
      <formula>NOT(ISERROR(SEARCH("V",C2)))</formula>
    </cfRule>
    <cfRule type="containsText" dxfId="721" priority="12" operator="containsText" text="V">
      <formula>NOT(ISERROR(SEARCH("V",C2)))</formula>
    </cfRule>
  </conditionalFormatting>
  <conditionalFormatting sqref="F2">
    <cfRule type="containsText" dxfId="720" priority="5" operator="containsText" text="e">
      <formula>NOT(ISERROR(SEARCH("e",F2)))</formula>
    </cfRule>
    <cfRule type="cellIs" dxfId="719" priority="6" operator="equal">
      <formula>42767</formula>
    </cfRule>
    <cfRule type="containsText" dxfId="718" priority="7" operator="containsText" text="1/2">
      <formula>NOT(ISERROR(SEARCH("1/2",F2)))</formula>
    </cfRule>
    <cfRule type="containsText" dxfId="717" priority="8" operator="containsText" text="R">
      <formula>NOT(ISERROR(SEARCH("R",F2)))</formula>
    </cfRule>
  </conditionalFormatting>
  <conditionalFormatting sqref="K2">
    <cfRule type="containsText" dxfId="716" priority="1" operator="containsText" text="Z">
      <formula>NOT(ISERROR(SEARCH("Z",K2)))</formula>
    </cfRule>
    <cfRule type="containsText" dxfId="715"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e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670947F-8B3C-4A6C-A280-4F5E10811DCE}">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tabColor them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45</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TEXT(WEEKDAY(DATE(CalendarYear,6,1),1),"aaa")</f>
        <v>ma</v>
      </c>
      <c r="D5" s="1" t="str">
        <f>TEXT(WEEKDAY(DATE(CalendarYear,6,2),1),"aaa")</f>
        <v>di</v>
      </c>
      <c r="E5" s="1" t="str">
        <f>TEXT(WEEKDAY(DATE(CalendarYear,6,3),1),"aaa")</f>
        <v>wo</v>
      </c>
      <c r="F5" s="1" t="str">
        <f>TEXT(WEEKDAY(DATE(CalendarYear,6,4),1),"aaa")</f>
        <v>do</v>
      </c>
      <c r="G5" s="1" t="str">
        <f>TEXT(WEEKDAY(DATE(CalendarYear,6,5),1),"aaa")</f>
        <v>vr</v>
      </c>
      <c r="H5" s="1" t="str">
        <f>TEXT(WEEKDAY(DATE(CalendarYear,6,6),1),"aaa")</f>
        <v>za</v>
      </c>
      <c r="I5" s="1" t="str">
        <f>TEXT(WEEKDAY(DATE(CalendarYear,6,7),1),"aaa")</f>
        <v>zo</v>
      </c>
      <c r="J5" s="1" t="str">
        <f>TEXT(WEEKDAY(DATE(CalendarYear,6,8),1),"aaa")</f>
        <v>ma</v>
      </c>
      <c r="K5" s="1" t="str">
        <f>TEXT(WEEKDAY(DATE(CalendarYear,6,9),1),"aaa")</f>
        <v>di</v>
      </c>
      <c r="L5" s="1" t="str">
        <f>TEXT(WEEKDAY(DATE(CalendarYear,6,10),1),"aaa")</f>
        <v>wo</v>
      </c>
      <c r="M5" s="1" t="str">
        <f>TEXT(WEEKDAY(DATE(CalendarYear,6,11),1),"aaa")</f>
        <v>do</v>
      </c>
      <c r="N5" s="1" t="str">
        <f>TEXT(WEEKDAY(DATE(CalendarYear,6,12),1),"aaa")</f>
        <v>vr</v>
      </c>
      <c r="O5" s="1" t="str">
        <f>TEXT(WEEKDAY(DATE(CalendarYear,6,13),1),"aaa")</f>
        <v>za</v>
      </c>
      <c r="P5" s="1" t="str">
        <f>TEXT(WEEKDAY(DATE(CalendarYear,6,14),1),"aaa")</f>
        <v>zo</v>
      </c>
      <c r="Q5" s="1" t="str">
        <f>TEXT(WEEKDAY(DATE(CalendarYear,6,15),1),"aaa")</f>
        <v>ma</v>
      </c>
      <c r="R5" s="1" t="str">
        <f>TEXT(WEEKDAY(DATE(CalendarYear,6,16),1),"aaa")</f>
        <v>di</v>
      </c>
      <c r="S5" s="1" t="str">
        <f>TEXT(WEEKDAY(DATE(CalendarYear,6,17),1),"aaa")</f>
        <v>wo</v>
      </c>
      <c r="T5" s="1" t="str">
        <f>TEXT(WEEKDAY(DATE(CalendarYear,6,18),1),"aaa")</f>
        <v>do</v>
      </c>
      <c r="U5" s="1" t="str">
        <f>TEXT(WEEKDAY(DATE(CalendarYear,6,19),1),"aaa")</f>
        <v>vr</v>
      </c>
      <c r="V5" s="1" t="str">
        <f>TEXT(WEEKDAY(DATE(CalendarYear,6,20),1),"aaa")</f>
        <v>za</v>
      </c>
      <c r="W5" s="1" t="str">
        <f>TEXT(WEEKDAY(DATE(CalendarYear,6,21),1),"aaa")</f>
        <v>zo</v>
      </c>
      <c r="X5" s="1" t="str">
        <f>TEXT(WEEKDAY(DATE(CalendarYear,6,22),1),"aaa")</f>
        <v>ma</v>
      </c>
      <c r="Y5" s="1" t="str">
        <f>TEXT(WEEKDAY(DATE(CalendarYear,6,23),1),"aaa")</f>
        <v>di</v>
      </c>
      <c r="Z5" s="1" t="str">
        <f>TEXT(WEEKDAY(DATE(CalendarYear,6,24),1),"aaa")</f>
        <v>wo</v>
      </c>
      <c r="AA5" s="1" t="str">
        <f>TEXT(WEEKDAY(DATE(CalendarYear,6,25),1),"aaa")</f>
        <v>do</v>
      </c>
      <c r="AB5" s="1" t="str">
        <f>TEXT(WEEKDAY(DATE(CalendarYear,6,26),1),"aaa")</f>
        <v>vr</v>
      </c>
      <c r="AC5" s="1" t="str">
        <f>TEXT(WEEKDAY(DATE(CalendarYear,6,27),1),"aaa")</f>
        <v>za</v>
      </c>
      <c r="AD5" s="1" t="str">
        <f>TEXT(WEEKDAY(DATE(CalendarYear,6,28),1),"aaa")</f>
        <v>zo</v>
      </c>
      <c r="AE5" s="1" t="str">
        <f>TEXT(WEEKDAY(DATE(CalendarYear,6,29),1),"aaa")</f>
        <v>ma</v>
      </c>
      <c r="AF5" s="1" t="str">
        <f>TEXT(WEEKDAY(DATE(CalendarYear,6,30),1),"aaa")</f>
        <v>di</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COUNTA(Juni[[#This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COUNTA(Juni[[#This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COUNTA(Juni[[#This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COUNTA(Juni[[#This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COUNTA(Juni[[#This Row],[1]:[31]])</f>
        <v>0</v>
      </c>
    </row>
    <row r="12" spans="2:34" ht="30" customHeight="1" x14ac:dyDescent="0.25">
      <c r="B12" s="14" t="str">
        <f>MonthName&amp;" totaal"</f>
        <v>Juni totaal</v>
      </c>
      <c r="C12" s="8">
        <f>SUBTOTAL(103,Juni[1])</f>
        <v>0</v>
      </c>
      <c r="D12" s="8">
        <f>SUBTOTAL(103,Juni[2])</f>
        <v>0</v>
      </c>
      <c r="E12" s="8">
        <f>SUBTOTAL(103,Juni[3])</f>
        <v>0</v>
      </c>
      <c r="F12" s="8">
        <f>SUBTOTAL(103,Juni[4])</f>
        <v>0</v>
      </c>
      <c r="G12" s="8">
        <f>SUBTOTAL(103,Juni[5])</f>
        <v>0</v>
      </c>
      <c r="H12" s="8">
        <f>SUBTOTAL(103,Juni[6])</f>
        <v>0</v>
      </c>
      <c r="I12" s="8">
        <f>SUBTOTAL(103,Juni[7])</f>
        <v>0</v>
      </c>
      <c r="J12" s="8">
        <f>SUBTOTAL(103,Juni[8])</f>
        <v>0</v>
      </c>
      <c r="K12" s="8">
        <f>SUBTOTAL(103,Juni[9])</f>
        <v>0</v>
      </c>
      <c r="L12" s="8">
        <f>SUBTOTAL(103,Juni[10])</f>
        <v>0</v>
      </c>
      <c r="M12" s="8">
        <f>SUBTOTAL(103,Juni[11])</f>
        <v>0</v>
      </c>
      <c r="N12" s="8">
        <f>SUBTOTAL(103,Juni[12])</f>
        <v>0</v>
      </c>
      <c r="O12" s="8">
        <f>SUBTOTAL(103,Juni[13])</f>
        <v>0</v>
      </c>
      <c r="P12" s="8">
        <f>SUBTOTAL(103,Juni[14])</f>
        <v>0</v>
      </c>
      <c r="Q12" s="8">
        <f>SUBTOTAL(103,Juni[15])</f>
        <v>0</v>
      </c>
      <c r="R12" s="8">
        <f>SUBTOTAL(103,Juni[16])</f>
        <v>0</v>
      </c>
      <c r="S12" s="8">
        <f>SUBTOTAL(103,Juni[17])</f>
        <v>0</v>
      </c>
      <c r="T12" s="8">
        <f>SUBTOTAL(103,Juni[18])</f>
        <v>0</v>
      </c>
      <c r="U12" s="8">
        <f>SUBTOTAL(103,Juni[19])</f>
        <v>0</v>
      </c>
      <c r="V12" s="8">
        <f>SUBTOTAL(103,Juni[20])</f>
        <v>0</v>
      </c>
      <c r="W12" s="8">
        <f>SUBTOTAL(103,Juni[21])</f>
        <v>0</v>
      </c>
      <c r="X12" s="8">
        <f>SUBTOTAL(103,Juni[22])</f>
        <v>0</v>
      </c>
      <c r="Y12" s="8">
        <f>SUBTOTAL(103,Juni[23])</f>
        <v>0</v>
      </c>
      <c r="Z12" s="8">
        <f>SUBTOTAL(103,Juni[24])</f>
        <v>0</v>
      </c>
      <c r="AA12" s="8">
        <f>SUBTOTAL(103,Juni[25])</f>
        <v>0</v>
      </c>
      <c r="AB12" s="8">
        <f>SUBTOTAL(103,Juni[26])</f>
        <v>0</v>
      </c>
      <c r="AC12" s="8">
        <f>SUBTOTAL(103,Juni[27])</f>
        <v>0</v>
      </c>
      <c r="AD12" s="8">
        <f>SUBTOTAL(103,Juni[28])</f>
        <v>0</v>
      </c>
      <c r="AE12" s="8">
        <f>SUBTOTAL(103,Juni[29])</f>
        <v>0</v>
      </c>
      <c r="AF12" s="8">
        <f>SUBTOTAL(109,Juni[30])</f>
        <v>0</v>
      </c>
      <c r="AG12" s="8">
        <f>SUBTOTAL(109,Juni[31])</f>
        <v>0</v>
      </c>
      <c r="AH12" s="8">
        <f>SUBTOTAL(109,Juni[Totaal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45" priority="14" stopIfTrue="1">
      <formula>C7=KeyCustom2</formula>
    </cfRule>
    <cfRule type="expression" dxfId="644" priority="15" stopIfTrue="1">
      <formula>C7=KeyCustom1</formula>
    </cfRule>
    <cfRule type="expression" dxfId="643" priority="16" stopIfTrue="1">
      <formula>C7=KeySick</formula>
    </cfRule>
    <cfRule type="expression" dxfId="642" priority="17" stopIfTrue="1">
      <formula>C7=KeyPersonal</formula>
    </cfRule>
    <cfRule type="expression" dxfId="641"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{5E94D469-7B22-408B-924D-8DC8A136AD3B}</x14:id>
        </ext>
      </extLst>
    </cfRule>
  </conditionalFormatting>
  <conditionalFormatting sqref="C2">
    <cfRule type="containsText" dxfId="640" priority="2" operator="containsText" text="V">
      <formula>NOT(ISERROR(SEARCH("V",C2)))</formula>
    </cfRule>
    <cfRule type="containsText" dxfId="639" priority="3" operator="containsText" text="V">
      <formula>NOT(ISERROR(SEARCH("V",C2)))</formula>
    </cfRule>
    <cfRule type="containsText" dxfId="638" priority="9" operator="containsText" text="V">
      <formula>NOT(ISERROR(SEARCH("V",C2)))</formula>
    </cfRule>
    <cfRule type="containsText" dxfId="637" priority="10" operator="containsText" text="V">
      <formula>NOT(ISERROR(SEARCH("V",C2)))</formula>
    </cfRule>
    <cfRule type="containsText" dxfId="636" priority="11" operator="containsText" text="V">
      <formula>NOT(ISERROR(SEARCH("V",C2)))</formula>
    </cfRule>
    <cfRule type="containsText" dxfId="635" priority="12" operator="containsText" text="V">
      <formula>NOT(ISERROR(SEARCH("V",C2)))</formula>
    </cfRule>
  </conditionalFormatting>
  <conditionalFormatting sqref="F2">
    <cfRule type="containsText" dxfId="634" priority="5" operator="containsText" text="e">
      <formula>NOT(ISERROR(SEARCH("e",F2)))</formula>
    </cfRule>
    <cfRule type="cellIs" dxfId="633" priority="6" operator="equal">
      <formula>42767</formula>
    </cfRule>
    <cfRule type="containsText" dxfId="632" priority="7" operator="containsText" text="1/2">
      <formula>NOT(ISERROR(SEARCH("1/2",F2)))</formula>
    </cfRule>
    <cfRule type="containsText" dxfId="631" priority="8" operator="containsText" text="R">
      <formula>NOT(ISERROR(SEARCH("R",F2)))</formula>
    </cfRule>
  </conditionalFormatting>
  <conditionalFormatting sqref="K2">
    <cfRule type="containsText" dxfId="630" priority="1" operator="containsText" text="Z">
      <formula>NOT(ISERROR(SEARCH("Z",K2)))</formula>
    </cfRule>
    <cfRule type="containsText" dxfId="629"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juni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E94D469-7B22-408B-924D-8DC8A136AD3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tabColor theme="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46</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TEXT(WEEKDAY(DATE(CalendarYear,7,1),1),"aaa")</f>
        <v>wo</v>
      </c>
      <c r="D5" s="1" t="str">
        <f>TEXT(WEEKDAY(DATE(CalendarYear,7,2),1),"aaa")</f>
        <v>do</v>
      </c>
      <c r="E5" s="1" t="str">
        <f>TEXT(WEEKDAY(DATE(CalendarYear,7,3),1),"aaa")</f>
        <v>vr</v>
      </c>
      <c r="F5" s="1" t="str">
        <f>TEXT(WEEKDAY(DATE(CalendarYear,7,4),1),"aaa")</f>
        <v>za</v>
      </c>
      <c r="G5" s="1" t="str">
        <f>TEXT(WEEKDAY(DATE(CalendarYear,7,5),1),"aaa")</f>
        <v>zo</v>
      </c>
      <c r="H5" s="1" t="str">
        <f>TEXT(WEEKDAY(DATE(CalendarYear,7,6),1),"aaa")</f>
        <v>ma</v>
      </c>
      <c r="I5" s="1" t="str">
        <f>TEXT(WEEKDAY(DATE(CalendarYear,7,7),1),"aaa")</f>
        <v>di</v>
      </c>
      <c r="J5" s="1" t="str">
        <f>TEXT(WEEKDAY(DATE(CalendarYear,7,8),1),"aaa")</f>
        <v>wo</v>
      </c>
      <c r="K5" s="1" t="str">
        <f>TEXT(WEEKDAY(DATE(CalendarYear,7,9),1),"aaa")</f>
        <v>do</v>
      </c>
      <c r="L5" s="1" t="str">
        <f>TEXT(WEEKDAY(DATE(CalendarYear,7,10),1),"aaa")</f>
        <v>vr</v>
      </c>
      <c r="M5" s="1" t="str">
        <f>TEXT(WEEKDAY(DATE(CalendarYear,7,11),1),"aaa")</f>
        <v>za</v>
      </c>
      <c r="N5" s="1" t="str">
        <f>TEXT(WEEKDAY(DATE(CalendarYear,7,12),1),"aaa")</f>
        <v>zo</v>
      </c>
      <c r="O5" s="1" t="str">
        <f>TEXT(WEEKDAY(DATE(CalendarYear,7,13),1),"aaa")</f>
        <v>ma</v>
      </c>
      <c r="P5" s="1" t="str">
        <f>TEXT(WEEKDAY(DATE(CalendarYear,7,14),1),"aaa")</f>
        <v>di</v>
      </c>
      <c r="Q5" s="1" t="str">
        <f>TEXT(WEEKDAY(DATE(CalendarYear,7,15),1),"aaa")</f>
        <v>wo</v>
      </c>
      <c r="R5" s="1" t="str">
        <f>TEXT(WEEKDAY(DATE(CalendarYear,7,16),1),"aaa")</f>
        <v>do</v>
      </c>
      <c r="S5" s="1" t="str">
        <f>TEXT(WEEKDAY(DATE(CalendarYear,7,17),1),"aaa")</f>
        <v>vr</v>
      </c>
      <c r="T5" s="1" t="str">
        <f>TEXT(WEEKDAY(DATE(CalendarYear,7,18),1),"aaa")</f>
        <v>za</v>
      </c>
      <c r="U5" s="1" t="str">
        <f>TEXT(WEEKDAY(DATE(CalendarYear,7,19),1),"aaa")</f>
        <v>zo</v>
      </c>
      <c r="V5" s="1" t="str">
        <f>TEXT(WEEKDAY(DATE(CalendarYear,7,20),1),"aaa")</f>
        <v>ma</v>
      </c>
      <c r="W5" s="1" t="str">
        <f>TEXT(WEEKDAY(DATE(CalendarYear,7,21),1),"aaa")</f>
        <v>di</v>
      </c>
      <c r="X5" s="1" t="str">
        <f>TEXT(WEEKDAY(DATE(CalendarYear,7,22),1),"aaa")</f>
        <v>wo</v>
      </c>
      <c r="Y5" s="1" t="str">
        <f>TEXT(WEEKDAY(DATE(CalendarYear,7,23),1),"aaa")</f>
        <v>do</v>
      </c>
      <c r="Z5" s="1" t="str">
        <f>TEXT(WEEKDAY(DATE(CalendarYear,7,24),1),"aaa")</f>
        <v>vr</v>
      </c>
      <c r="AA5" s="1" t="str">
        <f>TEXT(WEEKDAY(DATE(CalendarYear,7,25),1),"aaa")</f>
        <v>za</v>
      </c>
      <c r="AB5" s="1" t="str">
        <f>TEXT(WEEKDAY(DATE(CalendarYear,7,26),1),"aaa")</f>
        <v>zo</v>
      </c>
      <c r="AC5" s="1" t="str">
        <f>TEXT(WEEKDAY(DATE(CalendarYear,7,27),1),"aaa")</f>
        <v>ma</v>
      </c>
      <c r="AD5" s="1" t="str">
        <f>TEXT(WEEKDAY(DATE(CalendarYear,7,28),1),"aaa")</f>
        <v>di</v>
      </c>
      <c r="AE5" s="1" t="str">
        <f>TEXT(WEEKDAY(DATE(CalendarYear,7,29),1),"aaa")</f>
        <v>wo</v>
      </c>
      <c r="AF5" s="1" t="str">
        <f>TEXT(WEEKDAY(DATE(CalendarYear,7,30),1),"aaa")</f>
        <v>do</v>
      </c>
      <c r="AG5" s="1" t="str">
        <f>TEXT(WEEKDAY(DATE(CalendarYear,7,31),1),"aaa")</f>
        <v>vr</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COUNTA(Juli[[#This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COUNTA(Juli[[#This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COUNTA(Juli[[#This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COUNTA(Juli[[#This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COUNTA(Juli[[#This Row],[1]:[31]])</f>
        <v>0</v>
      </c>
    </row>
    <row r="12" spans="2:34" ht="30" customHeight="1" x14ac:dyDescent="0.25">
      <c r="B12" s="14" t="str">
        <f>MonthName&amp;" totaal"</f>
        <v>Juli totaal</v>
      </c>
      <c r="C12" s="8">
        <f>SUBTOTAL(103,Juli[1])</f>
        <v>0</v>
      </c>
      <c r="D12" s="8">
        <f>SUBTOTAL(103,Juli[2])</f>
        <v>0</v>
      </c>
      <c r="E12" s="8">
        <f>SUBTOTAL(103,Juli[3])</f>
        <v>0</v>
      </c>
      <c r="F12" s="8">
        <f>SUBTOTAL(103,Juli[4])</f>
        <v>0</v>
      </c>
      <c r="G12" s="8">
        <f>SUBTOTAL(103,Juli[5])</f>
        <v>0</v>
      </c>
      <c r="H12" s="8">
        <f>SUBTOTAL(103,Juli[6])</f>
        <v>0</v>
      </c>
      <c r="I12" s="8">
        <f>SUBTOTAL(103,Juli[7])</f>
        <v>0</v>
      </c>
      <c r="J12" s="8">
        <f>SUBTOTAL(103,Juli[8])</f>
        <v>0</v>
      </c>
      <c r="K12" s="8">
        <f>SUBTOTAL(103,Juli[9])</f>
        <v>0</v>
      </c>
      <c r="L12" s="8">
        <f>SUBTOTAL(103,Juli[10])</f>
        <v>0</v>
      </c>
      <c r="M12" s="8">
        <f>SUBTOTAL(103,Juli[11])</f>
        <v>0</v>
      </c>
      <c r="N12" s="8">
        <f>SUBTOTAL(103,Juli[12])</f>
        <v>0</v>
      </c>
      <c r="O12" s="8">
        <f>SUBTOTAL(103,Juli[13])</f>
        <v>0</v>
      </c>
      <c r="P12" s="8">
        <f>SUBTOTAL(103,Juli[14])</f>
        <v>0</v>
      </c>
      <c r="Q12" s="8">
        <f>SUBTOTAL(103,Juli[15])</f>
        <v>0</v>
      </c>
      <c r="R12" s="8">
        <f>SUBTOTAL(103,Juli[16])</f>
        <v>0</v>
      </c>
      <c r="S12" s="8">
        <f>SUBTOTAL(103,Juli[17])</f>
        <v>0</v>
      </c>
      <c r="T12" s="8">
        <f>SUBTOTAL(103,Juli[18])</f>
        <v>0</v>
      </c>
      <c r="U12" s="8">
        <f>SUBTOTAL(103,Juli[19])</f>
        <v>0</v>
      </c>
      <c r="V12" s="8">
        <f>SUBTOTAL(103,Juli[20])</f>
        <v>0</v>
      </c>
      <c r="W12" s="8">
        <f>SUBTOTAL(103,Juli[21])</f>
        <v>0</v>
      </c>
      <c r="X12" s="8">
        <f>SUBTOTAL(103,Juli[22])</f>
        <v>0</v>
      </c>
      <c r="Y12" s="8">
        <f>SUBTOTAL(103,Juli[23])</f>
        <v>0</v>
      </c>
      <c r="Z12" s="8">
        <f>SUBTOTAL(103,Juli[24])</f>
        <v>0</v>
      </c>
      <c r="AA12" s="8">
        <f>SUBTOTAL(103,Juli[25])</f>
        <v>0</v>
      </c>
      <c r="AB12" s="8">
        <f>SUBTOTAL(103,Juli[26])</f>
        <v>0</v>
      </c>
      <c r="AC12" s="8">
        <f>SUBTOTAL(103,Juli[27])</f>
        <v>0</v>
      </c>
      <c r="AD12" s="8">
        <f>SUBTOTAL(103,Juli[28])</f>
        <v>0</v>
      </c>
      <c r="AE12" s="8">
        <f>SUBTOTAL(103,Juli[29])</f>
        <v>0</v>
      </c>
      <c r="AF12" s="8">
        <f>SUBTOTAL(109,Juli[30])</f>
        <v>0</v>
      </c>
      <c r="AG12" s="8">
        <f>SUBTOTAL(109,Juli[31])</f>
        <v>0</v>
      </c>
      <c r="AH12" s="8">
        <f>SUBTOTAL(109,Juli[Totaal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559" priority="14" stopIfTrue="1">
      <formula>C7=KeyCustom2</formula>
    </cfRule>
    <cfRule type="expression" dxfId="558" priority="15" stopIfTrue="1">
      <formula>C7=KeyCustom1</formula>
    </cfRule>
    <cfRule type="expression" dxfId="557" priority="16" stopIfTrue="1">
      <formula>C7=KeySick</formula>
    </cfRule>
    <cfRule type="expression" dxfId="556" priority="17" stopIfTrue="1">
      <formula>C7=KeyPersonal</formula>
    </cfRule>
    <cfRule type="expression" dxfId="555"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{E0DCF129-9B2A-4CEB-9E56-27607F4BED20}</x14:id>
        </ext>
      </extLst>
    </cfRule>
  </conditionalFormatting>
  <conditionalFormatting sqref="C2">
    <cfRule type="containsText" dxfId="554" priority="2" operator="containsText" text="V">
      <formula>NOT(ISERROR(SEARCH("V",C2)))</formula>
    </cfRule>
    <cfRule type="containsText" dxfId="553" priority="3" operator="containsText" text="V">
      <formula>NOT(ISERROR(SEARCH("V",C2)))</formula>
    </cfRule>
    <cfRule type="containsText" dxfId="552" priority="9" operator="containsText" text="V">
      <formula>NOT(ISERROR(SEARCH("V",C2)))</formula>
    </cfRule>
    <cfRule type="containsText" dxfId="551" priority="10" operator="containsText" text="V">
      <formula>NOT(ISERROR(SEARCH("V",C2)))</formula>
    </cfRule>
    <cfRule type="containsText" dxfId="550" priority="11" operator="containsText" text="V">
      <formula>NOT(ISERROR(SEARCH("V",C2)))</formula>
    </cfRule>
    <cfRule type="containsText" dxfId="549" priority="12" operator="containsText" text="V">
      <formula>NOT(ISERROR(SEARCH("V",C2)))</formula>
    </cfRule>
  </conditionalFormatting>
  <conditionalFormatting sqref="F2">
    <cfRule type="containsText" dxfId="548" priority="5" operator="containsText" text="e">
      <formula>NOT(ISERROR(SEARCH("e",F2)))</formula>
    </cfRule>
    <cfRule type="cellIs" dxfId="547" priority="6" operator="equal">
      <formula>42767</formula>
    </cfRule>
    <cfRule type="containsText" dxfId="546" priority="7" operator="containsText" text="1/2">
      <formula>NOT(ISERROR(SEARCH("1/2",F2)))</formula>
    </cfRule>
    <cfRule type="containsText" dxfId="545" priority="8" operator="containsText" text="R">
      <formula>NOT(ISERROR(SEARCH("R",F2)))</formula>
    </cfRule>
  </conditionalFormatting>
  <conditionalFormatting sqref="K2">
    <cfRule type="containsText" dxfId="544" priority="1" operator="containsText" text="Z">
      <formula>NOT(ISERROR(SEARCH("Z",K2)))</formula>
    </cfRule>
    <cfRule type="containsText" dxfId="543"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jul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0DCF129-9B2A-4CEB-9E56-27607F4BED20}">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tabColor theme="2" tint="-0.74999237037263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47</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TEXT(WEEKDAY(DATE(CalendarYear,8,1),1),"aaa")</f>
        <v>za</v>
      </c>
      <c r="D5" s="1" t="str">
        <f>TEXT(WEEKDAY(DATE(CalendarYear,8,2),1),"aaa")</f>
        <v>zo</v>
      </c>
      <c r="E5" s="1" t="str">
        <f>TEXT(WEEKDAY(DATE(CalendarYear,8,3),1),"aaa")</f>
        <v>ma</v>
      </c>
      <c r="F5" s="1" t="str">
        <f>TEXT(WEEKDAY(DATE(CalendarYear,8,4),1),"aaa")</f>
        <v>di</v>
      </c>
      <c r="G5" s="1" t="str">
        <f>TEXT(WEEKDAY(DATE(CalendarYear,8,5),1),"aaa")</f>
        <v>wo</v>
      </c>
      <c r="H5" s="1" t="str">
        <f>TEXT(WEEKDAY(DATE(CalendarYear,8,6),1),"aaa")</f>
        <v>do</v>
      </c>
      <c r="I5" s="1" t="str">
        <f>TEXT(WEEKDAY(DATE(CalendarYear,8,7),1),"aaa")</f>
        <v>vr</v>
      </c>
      <c r="J5" s="1" t="str">
        <f>TEXT(WEEKDAY(DATE(CalendarYear,8,8),1),"aaa")</f>
        <v>za</v>
      </c>
      <c r="K5" s="1" t="str">
        <f>TEXT(WEEKDAY(DATE(CalendarYear,8,9),1),"aaa")</f>
        <v>zo</v>
      </c>
      <c r="L5" s="1" t="str">
        <f>TEXT(WEEKDAY(DATE(CalendarYear,8,10),1),"aaa")</f>
        <v>ma</v>
      </c>
      <c r="M5" s="1" t="str">
        <f>TEXT(WEEKDAY(DATE(CalendarYear,8,11),1),"aaa")</f>
        <v>di</v>
      </c>
      <c r="N5" s="1" t="str">
        <f>TEXT(WEEKDAY(DATE(CalendarYear,8,12),1),"aaa")</f>
        <v>wo</v>
      </c>
      <c r="O5" s="1" t="str">
        <f>TEXT(WEEKDAY(DATE(CalendarYear,8,13),1),"aaa")</f>
        <v>do</v>
      </c>
      <c r="P5" s="1" t="str">
        <f>TEXT(WEEKDAY(DATE(CalendarYear,8,14),1),"aaa")</f>
        <v>vr</v>
      </c>
      <c r="Q5" s="1" t="str">
        <f>TEXT(WEEKDAY(DATE(CalendarYear,8,15),1),"aaa")</f>
        <v>za</v>
      </c>
      <c r="R5" s="1" t="str">
        <f>TEXT(WEEKDAY(DATE(CalendarYear,8,16),1),"aaa")</f>
        <v>zo</v>
      </c>
      <c r="S5" s="1" t="str">
        <f>TEXT(WEEKDAY(DATE(CalendarYear,8,17),1),"aaa")</f>
        <v>ma</v>
      </c>
      <c r="T5" s="1" t="str">
        <f>TEXT(WEEKDAY(DATE(CalendarYear,8,18),1),"aaa")</f>
        <v>di</v>
      </c>
      <c r="U5" s="1" t="str">
        <f>TEXT(WEEKDAY(DATE(CalendarYear,8,19),1),"aaa")</f>
        <v>wo</v>
      </c>
      <c r="V5" s="1" t="str">
        <f>TEXT(WEEKDAY(DATE(CalendarYear,8,20),1),"aaa")</f>
        <v>do</v>
      </c>
      <c r="W5" s="1" t="str">
        <f>TEXT(WEEKDAY(DATE(CalendarYear,8,21),1),"aaa")</f>
        <v>vr</v>
      </c>
      <c r="X5" s="1" t="str">
        <f>TEXT(WEEKDAY(DATE(CalendarYear,8,22),1),"aaa")</f>
        <v>za</v>
      </c>
      <c r="Y5" s="1" t="str">
        <f>TEXT(WEEKDAY(DATE(CalendarYear,8,23),1),"aaa")</f>
        <v>zo</v>
      </c>
      <c r="Z5" s="1" t="str">
        <f>TEXT(WEEKDAY(DATE(CalendarYear,8,24),1),"aaa")</f>
        <v>ma</v>
      </c>
      <c r="AA5" s="1" t="str">
        <f>TEXT(WEEKDAY(DATE(CalendarYear,8,25),1),"aaa")</f>
        <v>di</v>
      </c>
      <c r="AB5" s="1" t="str">
        <f>TEXT(WEEKDAY(DATE(CalendarYear,8,26),1),"aaa")</f>
        <v>wo</v>
      </c>
      <c r="AC5" s="1" t="str">
        <f>TEXT(WEEKDAY(DATE(CalendarYear,8,27),1),"aaa")</f>
        <v>do</v>
      </c>
      <c r="AD5" s="1" t="str">
        <f>TEXT(WEEKDAY(DATE(CalendarYear,8,28),1),"aaa")</f>
        <v>vr</v>
      </c>
      <c r="AE5" s="1" t="str">
        <f>TEXT(WEEKDAY(DATE(CalendarYear,8,29),1),"aaa")</f>
        <v>za</v>
      </c>
      <c r="AF5" s="1" t="str">
        <f>TEXT(WEEKDAY(DATE(CalendarYear,8,30),1),"aaa")</f>
        <v>zo</v>
      </c>
      <c r="AG5" s="1" t="str">
        <f>TEXT(WEEKDAY(DATE(CalendarYear,8,31),1),"aaa")</f>
        <v>ma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COUNTA(Augustus[[#This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COUNTA(Augustus[[#This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COUNTA(Augustus[[#This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COUNTA(Augustus[[#This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COUNTA(Augustus[[#This Row],[1]:[31]])</f>
        <v>0</v>
      </c>
    </row>
    <row r="12" spans="2:34" ht="30" customHeight="1" x14ac:dyDescent="0.25">
      <c r="B12" s="14" t="str">
        <f>MonthName&amp;" totaal"</f>
        <v>Augustus totaal</v>
      </c>
      <c r="C12" s="8">
        <f>SUBTOTAL(103,Augustus[1])</f>
        <v>0</v>
      </c>
      <c r="D12" s="8">
        <f>SUBTOTAL(103,Augustus[2])</f>
        <v>0</v>
      </c>
      <c r="E12" s="8">
        <f>SUBTOTAL(103,Augustus[3])</f>
        <v>0</v>
      </c>
      <c r="F12" s="8">
        <f>SUBTOTAL(103,Augustus[4])</f>
        <v>0</v>
      </c>
      <c r="G12" s="8">
        <f>SUBTOTAL(103,Augustus[5])</f>
        <v>0</v>
      </c>
      <c r="H12" s="8">
        <f>SUBTOTAL(103,Augustus[6])</f>
        <v>0</v>
      </c>
      <c r="I12" s="8">
        <f>SUBTOTAL(103,Augustus[7])</f>
        <v>0</v>
      </c>
      <c r="J12" s="8">
        <f>SUBTOTAL(103,Augustus[8])</f>
        <v>0</v>
      </c>
      <c r="K12" s="8">
        <f>SUBTOTAL(103,Augustus[9])</f>
        <v>0</v>
      </c>
      <c r="L12" s="8">
        <f>SUBTOTAL(103,Augustus[10])</f>
        <v>0</v>
      </c>
      <c r="M12" s="8">
        <f>SUBTOTAL(103,Augustus[11])</f>
        <v>0</v>
      </c>
      <c r="N12" s="8">
        <f>SUBTOTAL(103,Augustus[12])</f>
        <v>0</v>
      </c>
      <c r="O12" s="8">
        <f>SUBTOTAL(103,Augustus[13])</f>
        <v>0</v>
      </c>
      <c r="P12" s="8">
        <f>SUBTOTAL(103,Augustus[14])</f>
        <v>0</v>
      </c>
      <c r="Q12" s="8">
        <f>SUBTOTAL(103,Augustus[15])</f>
        <v>0</v>
      </c>
      <c r="R12" s="8">
        <f>SUBTOTAL(103,Augustus[16])</f>
        <v>0</v>
      </c>
      <c r="S12" s="8">
        <f>SUBTOTAL(103,Augustus[17])</f>
        <v>0</v>
      </c>
      <c r="T12" s="8">
        <f>SUBTOTAL(103,Augustus[18])</f>
        <v>0</v>
      </c>
      <c r="U12" s="8">
        <f>SUBTOTAL(103,Augustus[19])</f>
        <v>0</v>
      </c>
      <c r="V12" s="8">
        <f>SUBTOTAL(103,Augustus[20])</f>
        <v>0</v>
      </c>
      <c r="W12" s="8">
        <f>SUBTOTAL(103,Augustus[21])</f>
        <v>0</v>
      </c>
      <c r="X12" s="8">
        <f>SUBTOTAL(103,Augustus[22])</f>
        <v>0</v>
      </c>
      <c r="Y12" s="8">
        <f>SUBTOTAL(103,Augustus[23])</f>
        <v>0</v>
      </c>
      <c r="Z12" s="8">
        <f>SUBTOTAL(103,Augustus[24])</f>
        <v>0</v>
      </c>
      <c r="AA12" s="8">
        <f>SUBTOTAL(103,Augustus[25])</f>
        <v>0</v>
      </c>
      <c r="AB12" s="8">
        <f>SUBTOTAL(103,Augustus[26])</f>
        <v>0</v>
      </c>
      <c r="AC12" s="8">
        <f>SUBTOTAL(103,Augustus[27])</f>
        <v>0</v>
      </c>
      <c r="AD12" s="8">
        <f>SUBTOTAL(103,Augustus[28])</f>
        <v>0</v>
      </c>
      <c r="AE12" s="8">
        <f>SUBTOTAL(103,Augustus[29])</f>
        <v>0</v>
      </c>
      <c r="AF12" s="8">
        <f>SUBTOTAL(109,Augustus[30])</f>
        <v>0</v>
      </c>
      <c r="AG12" s="8">
        <f>SUBTOTAL(109,Augustus[31])</f>
        <v>0</v>
      </c>
      <c r="AH12" s="8">
        <f>SUBTOTAL(109,Augustus[Totaal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473" priority="14" stopIfTrue="1">
      <formula>C7=KeyCustom2</formula>
    </cfRule>
    <cfRule type="expression" dxfId="472" priority="15" stopIfTrue="1">
      <formula>C7=KeyCustom1</formula>
    </cfRule>
    <cfRule type="expression" dxfId="471" priority="16" stopIfTrue="1">
      <formula>C7=KeySick</formula>
    </cfRule>
    <cfRule type="expression" dxfId="470" priority="17" stopIfTrue="1">
      <formula>C7=KeyPersonal</formula>
    </cfRule>
    <cfRule type="expression" dxfId="469"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{09900229-9536-43AB-AAE0-FC121BDECD61}</x14:id>
        </ext>
      </extLst>
    </cfRule>
  </conditionalFormatting>
  <conditionalFormatting sqref="C2">
    <cfRule type="containsText" dxfId="468" priority="2" operator="containsText" text="V">
      <formula>NOT(ISERROR(SEARCH("V",C2)))</formula>
    </cfRule>
    <cfRule type="containsText" dxfId="467" priority="3" operator="containsText" text="V">
      <formula>NOT(ISERROR(SEARCH("V",C2)))</formula>
    </cfRule>
    <cfRule type="containsText" dxfId="466" priority="9" operator="containsText" text="V">
      <formula>NOT(ISERROR(SEARCH("V",C2)))</formula>
    </cfRule>
    <cfRule type="containsText" dxfId="465" priority="10" operator="containsText" text="V">
      <formula>NOT(ISERROR(SEARCH("V",C2)))</formula>
    </cfRule>
    <cfRule type="containsText" dxfId="464" priority="11" operator="containsText" text="V">
      <formula>NOT(ISERROR(SEARCH("V",C2)))</formula>
    </cfRule>
    <cfRule type="containsText" dxfId="463" priority="12" operator="containsText" text="V">
      <formula>NOT(ISERROR(SEARCH("V",C2)))</formula>
    </cfRule>
  </conditionalFormatting>
  <conditionalFormatting sqref="F2">
    <cfRule type="containsText" dxfId="462" priority="5" operator="containsText" text="e">
      <formula>NOT(ISERROR(SEARCH("e",F2)))</formula>
    </cfRule>
    <cfRule type="cellIs" dxfId="461" priority="6" operator="equal">
      <formula>42767</formula>
    </cfRule>
    <cfRule type="containsText" dxfId="460" priority="7" operator="containsText" text="1/2">
      <formula>NOT(ISERROR(SEARCH("1/2",F2)))</formula>
    </cfRule>
    <cfRule type="containsText" dxfId="459" priority="8" operator="containsText" text="R">
      <formula>NOT(ISERROR(SEARCH("R",F2)))</formula>
    </cfRule>
  </conditionalFormatting>
  <conditionalFormatting sqref="K2">
    <cfRule type="containsText" dxfId="458" priority="1" operator="containsText" text="Z">
      <formula>NOT(ISERROR(SEARCH("Z",K2)))</formula>
    </cfRule>
    <cfRule type="containsText" dxfId="457"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ugustus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9900229-9536-43AB-AAE0-FC121BDECD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9" t="s">
        <v>61</v>
      </c>
      <c r="E2" s="50"/>
      <c r="F2" s="20" t="s">
        <v>59</v>
      </c>
      <c r="G2" s="51" t="s">
        <v>60</v>
      </c>
      <c r="H2" s="52"/>
      <c r="I2" s="52"/>
      <c r="J2" s="52"/>
      <c r="K2" s="25" t="s">
        <v>9</v>
      </c>
      <c r="L2" s="24" t="s">
        <v>15</v>
      </c>
      <c r="M2" s="23"/>
      <c r="N2" s="29" t="s">
        <v>62</v>
      </c>
      <c r="O2" s="27" t="s">
        <v>63</v>
      </c>
      <c r="P2" s="17"/>
      <c r="Q2" s="28" t="s">
        <v>65</v>
      </c>
      <c r="R2" s="53" t="s">
        <v>64</v>
      </c>
      <c r="S2" s="52"/>
      <c r="T2" s="52"/>
      <c r="U2" s="52"/>
    </row>
    <row r="3" spans="2:34" ht="15" customHeight="1" x14ac:dyDescent="0.25">
      <c r="B3" s="9"/>
    </row>
    <row r="4" spans="2:34" ht="30" customHeight="1" x14ac:dyDescent="0.25">
      <c r="B4" s="7" t="s">
        <v>53</v>
      </c>
      <c r="C4" s="54" t="s">
        <v>4</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7">
        <f>CalendarYear</f>
        <v>2020</v>
      </c>
    </row>
    <row r="5" spans="2:34" ht="15" customHeight="1" x14ac:dyDescent="0.25">
      <c r="B5" s="7"/>
      <c r="C5" s="1" t="str">
        <f>TEXT(WEEKDAY(DATE(CalendarYear,9,1),1),"aaa")</f>
        <v>di</v>
      </c>
      <c r="D5" s="1" t="str">
        <f>TEXT(WEEKDAY(DATE(CalendarYear,9,2),1),"aaa")</f>
        <v>wo</v>
      </c>
      <c r="E5" s="1" t="str">
        <f>TEXT(WEEKDAY(DATE(CalendarYear,9,3),1),"aaa")</f>
        <v>do</v>
      </c>
      <c r="F5" s="1" t="str">
        <f>TEXT(WEEKDAY(DATE(CalendarYear,9,4),1),"aaa")</f>
        <v>vr</v>
      </c>
      <c r="G5" s="1" t="str">
        <f>TEXT(WEEKDAY(DATE(CalendarYear,9,5),1),"aaa")</f>
        <v>za</v>
      </c>
      <c r="H5" s="1" t="str">
        <f>TEXT(WEEKDAY(DATE(CalendarYear,9,6),1),"aaa")</f>
        <v>zo</v>
      </c>
      <c r="I5" s="1" t="str">
        <f>TEXT(WEEKDAY(DATE(CalendarYear,9,7),1),"aaa")</f>
        <v>ma</v>
      </c>
      <c r="J5" s="1" t="str">
        <f>TEXT(WEEKDAY(DATE(CalendarYear,9,8),1),"aaa")</f>
        <v>di</v>
      </c>
      <c r="K5" s="1" t="str">
        <f>TEXT(WEEKDAY(DATE(CalendarYear,9,9),1),"aaa")</f>
        <v>wo</v>
      </c>
      <c r="L5" s="1" t="str">
        <f>TEXT(WEEKDAY(DATE(CalendarYear,9,10),1),"aaa")</f>
        <v>do</v>
      </c>
      <c r="M5" s="1" t="str">
        <f>TEXT(WEEKDAY(DATE(CalendarYear,9,11),1),"aaa")</f>
        <v>vr</v>
      </c>
      <c r="N5" s="1" t="str">
        <f>TEXT(WEEKDAY(DATE(CalendarYear,9,12),1),"aaa")</f>
        <v>za</v>
      </c>
      <c r="O5" s="1" t="str">
        <f>TEXT(WEEKDAY(DATE(CalendarYear,9,13),1),"aaa")</f>
        <v>zo</v>
      </c>
      <c r="P5" s="1" t="str">
        <f>TEXT(WEEKDAY(DATE(CalendarYear,9,14),1),"aaa")</f>
        <v>ma</v>
      </c>
      <c r="Q5" s="1" t="str">
        <f>TEXT(WEEKDAY(DATE(CalendarYear,9,15),1),"aaa")</f>
        <v>di</v>
      </c>
      <c r="R5" s="1" t="str">
        <f>TEXT(WEEKDAY(DATE(CalendarYear,9,16),1),"aaa")</f>
        <v>wo</v>
      </c>
      <c r="S5" s="1" t="str">
        <f>TEXT(WEEKDAY(DATE(CalendarYear,9,17),1),"aaa")</f>
        <v>do</v>
      </c>
      <c r="T5" s="1" t="str">
        <f>TEXT(WEEKDAY(DATE(CalendarYear,9,18),1),"aaa")</f>
        <v>vr</v>
      </c>
      <c r="U5" s="1" t="str">
        <f>TEXT(WEEKDAY(DATE(CalendarYear,9,19),1),"aaa")</f>
        <v>za</v>
      </c>
      <c r="V5" s="1" t="str">
        <f>TEXT(WEEKDAY(DATE(CalendarYear,9,20),1),"aaa")</f>
        <v>zo</v>
      </c>
      <c r="W5" s="1" t="str">
        <f>TEXT(WEEKDAY(DATE(CalendarYear,9,21),1),"aaa")</f>
        <v>ma</v>
      </c>
      <c r="X5" s="1" t="str">
        <f>TEXT(WEEKDAY(DATE(CalendarYear,9,22),1),"aaa")</f>
        <v>di</v>
      </c>
      <c r="Y5" s="1" t="str">
        <f>TEXT(WEEKDAY(DATE(CalendarYear,9,23),1),"aaa")</f>
        <v>wo</v>
      </c>
      <c r="Z5" s="1" t="str">
        <f>TEXT(WEEKDAY(DATE(CalendarYear,9,24),1),"aaa")</f>
        <v>do</v>
      </c>
      <c r="AA5" s="1" t="str">
        <f>TEXT(WEEKDAY(DATE(CalendarYear,9,25),1),"aaa")</f>
        <v>vr</v>
      </c>
      <c r="AB5" s="1" t="str">
        <f>TEXT(WEEKDAY(DATE(CalendarYear,9,26),1),"aaa")</f>
        <v>za</v>
      </c>
      <c r="AC5" s="1" t="str">
        <f>TEXT(WEEKDAY(DATE(CalendarYear,9,27),1),"aaa")</f>
        <v>zo</v>
      </c>
      <c r="AD5" s="1" t="str">
        <f>TEXT(WEEKDAY(DATE(CalendarYear,9,28),1),"aaa")</f>
        <v>ma</v>
      </c>
      <c r="AE5" s="1" t="str">
        <f>TEXT(WEEKDAY(DATE(CalendarYear,9,29),1),"aaa")</f>
        <v>di</v>
      </c>
      <c r="AF5" s="1" t="str">
        <f>TEXT(WEEKDAY(DATE(CalendarYear,9,30),1),"aaa")</f>
        <v>wo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COUNTA(September[[#This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COUNTA(September[[#This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COUNTA(September[[#This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COUNTA(September[[#This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COUNTA(September[[#This Row],[1]:[31]])</f>
        <v>0</v>
      </c>
    </row>
    <row r="12" spans="2:34" ht="30" customHeight="1" x14ac:dyDescent="0.25">
      <c r="B12" s="14" t="str">
        <f>MonthName&amp;" totaal"</f>
        <v>September totaal</v>
      </c>
      <c r="C12" s="8">
        <f>SUBTOTAL(103,September[1])</f>
        <v>0</v>
      </c>
      <c r="D12" s="8">
        <f>SUBTOTAL(103,September[2])</f>
        <v>0</v>
      </c>
      <c r="E12" s="8">
        <f>SUBTOTAL(103,September[3])</f>
        <v>0</v>
      </c>
      <c r="F12" s="8">
        <f>SUBTOTAL(103,September[4])</f>
        <v>0</v>
      </c>
      <c r="G12" s="8">
        <f>SUBTOTAL(103,September[5])</f>
        <v>0</v>
      </c>
      <c r="H12" s="8">
        <f>SUBTOTAL(103,September[6])</f>
        <v>0</v>
      </c>
      <c r="I12" s="8">
        <f>SUBTOTAL(103,September[7])</f>
        <v>0</v>
      </c>
      <c r="J12" s="8">
        <f>SUBTOTAL(103,September[8])</f>
        <v>0</v>
      </c>
      <c r="K12" s="8">
        <f>SUBTOTAL(103,September[9])</f>
        <v>0</v>
      </c>
      <c r="L12" s="8">
        <f>SUBTOTAL(103,September[10])</f>
        <v>0</v>
      </c>
      <c r="M12" s="8">
        <f>SUBTOTAL(103,September[11])</f>
        <v>0</v>
      </c>
      <c r="N12" s="8">
        <f>SUBTOTAL(103,September[12])</f>
        <v>0</v>
      </c>
      <c r="O12" s="8">
        <f>SUBTOTAL(103,September[13])</f>
        <v>0</v>
      </c>
      <c r="P12" s="8">
        <f>SUBTOTAL(103,September[14])</f>
        <v>0</v>
      </c>
      <c r="Q12" s="8">
        <f>SUBTOTAL(103,September[15])</f>
        <v>0</v>
      </c>
      <c r="R12" s="8">
        <f>SUBTOTAL(103,September[16])</f>
        <v>0</v>
      </c>
      <c r="S12" s="8">
        <f>SUBTOTAL(103,September[17])</f>
        <v>0</v>
      </c>
      <c r="T12" s="8">
        <f>SUBTOTAL(103,September[18])</f>
        <v>0</v>
      </c>
      <c r="U12" s="8">
        <f>SUBTOTAL(103,September[19])</f>
        <v>0</v>
      </c>
      <c r="V12" s="8">
        <f>SUBTOTAL(103,September[20])</f>
        <v>0</v>
      </c>
      <c r="W12" s="8">
        <f>SUBTOTAL(103,September[21])</f>
        <v>0</v>
      </c>
      <c r="X12" s="8">
        <f>SUBTOTAL(103,September[22])</f>
        <v>0</v>
      </c>
      <c r="Y12" s="8">
        <f>SUBTOTAL(103,September[23])</f>
        <v>0</v>
      </c>
      <c r="Z12" s="8">
        <f>SUBTOTAL(103,September[24])</f>
        <v>0</v>
      </c>
      <c r="AA12" s="8">
        <f>SUBTOTAL(103,September[25])</f>
        <v>0</v>
      </c>
      <c r="AB12" s="8">
        <f>SUBTOTAL(103,September[26])</f>
        <v>0</v>
      </c>
      <c r="AC12" s="8">
        <f>SUBTOTAL(103,September[27])</f>
        <v>0</v>
      </c>
      <c r="AD12" s="8">
        <f>SUBTOTAL(103,September[28])</f>
        <v>0</v>
      </c>
      <c r="AE12" s="8">
        <f>SUBTOTAL(103,September[29])</f>
        <v>0</v>
      </c>
      <c r="AF12" s="8">
        <f>SUBTOTAL(109,September[30])</f>
        <v>0</v>
      </c>
      <c r="AG12" s="8">
        <f>SUBTOTAL(109,September[31])</f>
        <v>0</v>
      </c>
      <c r="AH12" s="8">
        <f>SUBTOTAL(109,September[Totaal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387" priority="14" stopIfTrue="1">
      <formula>C7=KeyCustom2</formula>
    </cfRule>
    <cfRule type="expression" dxfId="386" priority="15" stopIfTrue="1">
      <formula>C7=KeyCustom1</formula>
    </cfRule>
    <cfRule type="expression" dxfId="385" priority="16" stopIfTrue="1">
      <formula>C7=KeySick</formula>
    </cfRule>
    <cfRule type="expression" dxfId="384" priority="17" stopIfTrue="1">
      <formula>C7=KeyPersonal</formula>
    </cfRule>
    <cfRule type="expression" dxfId="383"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{1A021984-06A1-41D9-90D2-8C16E885020B}</x14:id>
        </ext>
      </extLst>
    </cfRule>
  </conditionalFormatting>
  <conditionalFormatting sqref="C2">
    <cfRule type="containsText" dxfId="382" priority="2" operator="containsText" text="V">
      <formula>NOT(ISERROR(SEARCH("V",C2)))</formula>
    </cfRule>
    <cfRule type="containsText" dxfId="381" priority="3" operator="containsText" text="V">
      <formula>NOT(ISERROR(SEARCH("V",C2)))</formula>
    </cfRule>
    <cfRule type="containsText" dxfId="380" priority="9" operator="containsText" text="V">
      <formula>NOT(ISERROR(SEARCH("V",C2)))</formula>
    </cfRule>
    <cfRule type="containsText" dxfId="379" priority="10" operator="containsText" text="V">
      <formula>NOT(ISERROR(SEARCH("V",C2)))</formula>
    </cfRule>
    <cfRule type="containsText" dxfId="378" priority="11" operator="containsText" text="V">
      <formula>NOT(ISERROR(SEARCH("V",C2)))</formula>
    </cfRule>
    <cfRule type="containsText" dxfId="377" priority="12" operator="containsText" text="V">
      <formula>NOT(ISERROR(SEARCH("V",C2)))</formula>
    </cfRule>
  </conditionalFormatting>
  <conditionalFormatting sqref="F2">
    <cfRule type="containsText" dxfId="376" priority="5" operator="containsText" text="e">
      <formula>NOT(ISERROR(SEARCH("e",F2)))</formula>
    </cfRule>
    <cfRule type="cellIs" dxfId="375" priority="6" operator="equal">
      <formula>42767</formula>
    </cfRule>
    <cfRule type="containsText" dxfId="374" priority="7" operator="containsText" text="1/2">
      <formula>NOT(ISERROR(SEARCH("1/2",F2)))</formula>
    </cfRule>
    <cfRule type="containsText" dxfId="373" priority="8" operator="containsText" text="R">
      <formula>NOT(ISERROR(SEARCH("R",F2)))</formula>
    </cfRule>
  </conditionalFormatting>
  <conditionalFormatting sqref="K2">
    <cfRule type="containsText" dxfId="372" priority="1" operator="containsText" text="Z">
      <formula>NOT(ISERROR(SEARCH("Z",K2)))</formula>
    </cfRule>
    <cfRule type="containsText" dxfId="371"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sept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A021984-06A1-41D9-90D2-8C16E885020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47</vt:i4>
      </vt:variant>
    </vt:vector>
  </HeadingPairs>
  <TitlesOfParts>
    <vt:vector size="60" baseType="lpstr">
      <vt:lpstr>Januari</vt:lpstr>
      <vt:lpstr>Februari</vt:lpstr>
      <vt:lpstr>Maart</vt:lpstr>
      <vt:lpstr>April</vt:lpstr>
      <vt:lpstr>Mei</vt:lpstr>
      <vt:lpstr>Juni</vt:lpstr>
      <vt:lpstr>Juli</vt:lpstr>
      <vt:lpstr>Augustus</vt:lpstr>
      <vt:lpstr>September</vt:lpstr>
      <vt:lpstr>Oktober</vt:lpstr>
      <vt:lpstr>November</vt:lpstr>
      <vt:lpstr>December</vt:lpstr>
      <vt:lpstr>Werknemersnamen</vt:lpstr>
      <vt:lpstr>April!Afdruktitels</vt:lpstr>
      <vt:lpstr>Augustus!Afdruktitels</vt:lpstr>
      <vt:lpstr>December!Afdruktitels</vt:lpstr>
      <vt:lpstr>Februari!Afdruktitels</vt:lpstr>
      <vt:lpstr>Januari!Afdruktitels</vt:lpstr>
      <vt:lpstr>Juli!Afdruktitels</vt:lpstr>
      <vt:lpstr>Juni!Afdruktitels</vt:lpstr>
      <vt:lpstr>Maart!Afdruktitels</vt:lpstr>
      <vt:lpstr>Mei!Afdruktitels</vt:lpstr>
      <vt:lpstr>November!Afdruktitels</vt:lpstr>
      <vt:lpstr>Oktober!Afdruktitels</vt:lpstr>
      <vt:lpstr>September!Afdruktitels</vt:lpstr>
      <vt:lpstr>CalendarYear</vt:lpstr>
      <vt:lpstr>ColumnTitle13</vt:lpstr>
      <vt:lpstr>Employee_Absence_Title</vt:lpstr>
      <vt:lpstr>Key_name</vt:lpstr>
      <vt:lpstr>KeyCustom1</vt:lpstr>
      <vt:lpstr>KeyCustom1Label</vt:lpstr>
      <vt:lpstr>KeyCustom2Label</vt:lpstr>
      <vt:lpstr>KeyPersonalLabel</vt:lpstr>
      <vt:lpstr>KeySick</vt:lpstr>
      <vt:lpstr>KeyVacation</vt:lpstr>
      <vt:lpstr>KeyVacationLabel</vt:lpstr>
      <vt:lpstr>April!MonthName</vt:lpstr>
      <vt:lpstr>Augustus!MonthName</vt:lpstr>
      <vt:lpstr>December!MonthName</vt:lpstr>
      <vt:lpstr>Februari!MonthName</vt:lpstr>
      <vt:lpstr>Januari!MonthName</vt:lpstr>
      <vt:lpstr>Juli!MonthName</vt:lpstr>
      <vt:lpstr>Juni!MonthName</vt:lpstr>
      <vt:lpstr>Maart!MonthName</vt:lpstr>
      <vt:lpstr>Mei!MonthName</vt:lpstr>
      <vt:lpstr>November!MonthName</vt:lpstr>
      <vt:lpstr>Oktober!MonthName</vt:lpstr>
      <vt:lpstr>September!MonthName</vt:lpstr>
      <vt:lpstr>Title1</vt:lpstr>
      <vt:lpstr>Title10</vt:lpstr>
      <vt:lpstr>Title11</vt:lpstr>
      <vt:lpstr>Title12</vt:lpstr>
      <vt:lpstr>Title2</vt:lpstr>
      <vt:lpstr>Title3</vt:lpstr>
      <vt:lpstr>Title4</vt:lpstr>
      <vt:lpstr>Title5</vt:lpstr>
      <vt:lpstr>Title6</vt:lpstr>
      <vt:lpstr>Title7</vt:lpstr>
      <vt:lpstr>Title8</vt:lpstr>
      <vt:lpstr>Title9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Serge Verschoren</dc:creator>
  <cp:lastModifiedBy>Geert Vandenhende</cp:lastModifiedBy>
  <dcterms:created xsi:type="dcterms:W3CDTF">2016-12-06T04:52:27Z</dcterms:created>
  <dcterms:modified xsi:type="dcterms:W3CDTF">2017-10-17T08:20:44Z</dcterms:modified>
</cp:coreProperties>
</file>