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F:\6 Techniekers\"/>
    </mc:Choice>
  </mc:AlternateContent>
  <bookViews>
    <workbookView xWindow="0" yWindow="0" windowWidth="28800" windowHeight="12210" tabRatio="686"/>
  </bookViews>
  <sheets>
    <sheet name="Januari" sheetId="4" r:id="rId1"/>
    <sheet name="Februari" sheetId="5" r:id="rId2"/>
    <sheet name="Maart" sheetId="17" r:id="rId3"/>
    <sheet name="April" sheetId="18" r:id="rId4"/>
    <sheet name="Mei" sheetId="19" r:id="rId5"/>
    <sheet name="Juni" sheetId="20" r:id="rId6"/>
    <sheet name="Juli" sheetId="21" r:id="rId7"/>
    <sheet name="Augustus" sheetId="22" r:id="rId8"/>
    <sheet name="September" sheetId="23" r:id="rId9"/>
    <sheet name="Oktober" sheetId="24" r:id="rId10"/>
    <sheet name="November" sheetId="25" r:id="rId11"/>
    <sheet name="December" sheetId="15" r:id="rId12"/>
    <sheet name="Werknemersnamen" sheetId="16" r:id="rId13"/>
  </sheets>
  <definedNames>
    <definedName name="_xlnm.Print_Titles" localSheetId="3">April!$4:$6</definedName>
    <definedName name="_xlnm.Print_Titles" localSheetId="7">Augustus!$4:$6</definedName>
    <definedName name="_xlnm.Print_Titles" localSheetId="11">December!$4:$6</definedName>
    <definedName name="_xlnm.Print_Titles" localSheetId="1">Februari!$4:$6</definedName>
    <definedName name="_xlnm.Print_Titles" localSheetId="0">Januari!$4:$6</definedName>
    <definedName name="_xlnm.Print_Titles" localSheetId="6">Juli!$4:$6</definedName>
    <definedName name="_xlnm.Print_Titles" localSheetId="5">Juni!$4:$6</definedName>
    <definedName name="_xlnm.Print_Titles" localSheetId="2">Maart!$4:$6</definedName>
    <definedName name="_xlnm.Print_Titles" localSheetId="4">Mei!$4:$6</definedName>
    <definedName name="_xlnm.Print_Titles" localSheetId="10">November!$4:$6</definedName>
    <definedName name="_xlnm.Print_Titles" localSheetId="9">Oktober!$4:$6</definedName>
    <definedName name="_xlnm.Print_Titles" localSheetId="8">September!$4:$6</definedName>
    <definedName name="CalendarYear">Januari!$AH$4</definedName>
    <definedName name="ColumnTitle13">NaamVanWerknemer[[#Headers],[Werknemersnamen]]</definedName>
    <definedName name="Employee_Absence_Title">Januari!$B$1</definedName>
    <definedName name="Key_name">Januari!$B$2</definedName>
    <definedName name="KeyCustom1">Januari!$N$2</definedName>
    <definedName name="KeyCustom1Label">Januari!$O$2</definedName>
    <definedName name="KeyCustom2">Januari!#REF!</definedName>
    <definedName name="KeyCustom2Label">Januari!$R$2</definedName>
    <definedName name="KeyPersonal">Januari!#REF!</definedName>
    <definedName name="KeyPersonalLabel">Januari!$G$2</definedName>
    <definedName name="KeySick">Januari!$K$2</definedName>
    <definedName name="KeySickLabel">Januari!#REF!</definedName>
    <definedName name="KeyVacation">Januari!$C$2</definedName>
    <definedName name="KeyVacationLabel">Januari!$D$2</definedName>
    <definedName name="MonthName" localSheetId="3">April!$B$4</definedName>
    <definedName name="MonthName" localSheetId="7">Augustus!$B$4</definedName>
    <definedName name="MonthName" localSheetId="11">December!$B$4</definedName>
    <definedName name="MonthName" localSheetId="1">Februari!$B$4</definedName>
    <definedName name="MonthName" localSheetId="0">Januari!$B$4</definedName>
    <definedName name="MonthName" localSheetId="6">Juli!$B$4</definedName>
    <definedName name="MonthName" localSheetId="5">Juni!$B$4</definedName>
    <definedName name="MonthName" localSheetId="2">Maart!$B$4</definedName>
    <definedName name="MonthName" localSheetId="4">Mei!$B$4</definedName>
    <definedName name="MonthName" localSheetId="10">November!$B$4</definedName>
    <definedName name="MonthName" localSheetId="9">Oktober!$B$4</definedName>
    <definedName name="MonthName" localSheetId="8">September!$B$4</definedName>
    <definedName name="Title1">Januari[[#Headers],[Naam van werknemer]]</definedName>
    <definedName name="Title10">Oktober[[#Headers],[Naam van werknemer]]</definedName>
    <definedName name="Title11">November[[#Headers],[Naam van werknemer]]</definedName>
    <definedName name="Title12">December[[#Headers],[Naam van werknemer]]</definedName>
    <definedName name="Title2">Februari[[#Headers],[Naam van werknemer]]</definedName>
    <definedName name="Title3">Maart[[#Headers],[Naam van werknemer]]</definedName>
    <definedName name="Title4">April[[#Headers],[Naam van werknemer]]</definedName>
    <definedName name="Title5">Mei[[#Headers],[Naam van werknemer]]</definedName>
    <definedName name="Title6">Juni[[#Headers],[Naam van werknemer]]</definedName>
    <definedName name="Title7">Juli[[#Headers],[Naam van werknemer]]</definedName>
    <definedName name="Title8">Augustus[[#Headers],[Naam van werknemer]]</definedName>
    <definedName name="Title9">September[[#Headers],[Naam van werknemer]]</definedName>
  </definedNames>
  <calcPr calcId="171027"/>
</workbook>
</file>

<file path=xl/calcChain.xml><?xml version="1.0" encoding="utf-8"?>
<calcChain xmlns="http://schemas.openxmlformats.org/spreadsheetml/2006/main">
  <c r="C5" i="4" l="1"/>
  <c r="D5" i="4" s="1"/>
  <c r="E5" i="4" s="1"/>
  <c r="F5" i="4" s="1"/>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AD5" i="4" s="1"/>
  <c r="AE5" i="4" s="1"/>
  <c r="AF5" i="4" s="1"/>
  <c r="AG5" i="4" s="1"/>
  <c r="AH7" i="4" l="1"/>
  <c r="AH8" i="4"/>
  <c r="AH9" i="4"/>
  <c r="AH10" i="4"/>
  <c r="AH11" i="4"/>
  <c r="AI11" i="4" l="1"/>
  <c r="AI9" i="4"/>
  <c r="AI8" i="4"/>
  <c r="AI7" i="4"/>
  <c r="AI10" i="4"/>
  <c r="B12" i="15" l="1"/>
  <c r="B12" i="25"/>
  <c r="B12" i="24"/>
  <c r="B12" i="23"/>
  <c r="B12" i="22"/>
  <c r="B12" i="21"/>
  <c r="B12" i="20"/>
  <c r="B12" i="19"/>
  <c r="B12" i="18"/>
  <c r="B12" i="17"/>
  <c r="AH8" i="24" l="1"/>
  <c r="AH9" i="24"/>
  <c r="AH10" i="24"/>
  <c r="AH11" i="24"/>
  <c r="AH7" i="24"/>
  <c r="AH8" i="22"/>
  <c r="AH9" i="22"/>
  <c r="AH10" i="22"/>
  <c r="AH11" i="22"/>
  <c r="AH7" i="22"/>
  <c r="AH8" i="21"/>
  <c r="AH9" i="21"/>
  <c r="AH10" i="21"/>
  <c r="AH11" i="21"/>
  <c r="AH7" i="21"/>
  <c r="AH8" i="20"/>
  <c r="AH9" i="20"/>
  <c r="AH10" i="20"/>
  <c r="AH11" i="20"/>
  <c r="AH7" i="20"/>
  <c r="AH8" i="19"/>
  <c r="AH9" i="19"/>
  <c r="AH10" i="19"/>
  <c r="AH11" i="19"/>
  <c r="AH7" i="19"/>
  <c r="AH8" i="17"/>
  <c r="AH9" i="17"/>
  <c r="AH10" i="17"/>
  <c r="AH11" i="17"/>
  <c r="AH7" i="17"/>
  <c r="AH8" i="5"/>
  <c r="AH9" i="5"/>
  <c r="AH10" i="5"/>
  <c r="AH11" i="5"/>
  <c r="AH7" i="5"/>
  <c r="AF5" i="25" l="1"/>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AH11" i="25"/>
  <c r="AH10" i="25"/>
  <c r="AH9" i="25"/>
  <c r="AH8" i="25"/>
  <c r="AH7" i="25"/>
  <c r="AH4" i="25"/>
  <c r="B1" i="25"/>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AH4" i="24"/>
  <c r="B1" i="24"/>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1" i="23"/>
  <c r="AH10" i="23"/>
  <c r="AH9" i="23"/>
  <c r="AH8" i="23"/>
  <c r="AH7" i="23"/>
  <c r="AH4" i="23"/>
  <c r="B1"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AH4" i="22"/>
  <c r="B1" i="22"/>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AH12" i="21"/>
  <c r="AH4" i="21"/>
  <c r="B1" i="21"/>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AH4" i="20"/>
  <c r="B1" i="20"/>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AH4" i="19"/>
  <c r="B1" i="19"/>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AH11" i="18"/>
  <c r="AH10" i="18"/>
  <c r="AH9" i="18"/>
  <c r="AH8" i="18"/>
  <c r="AH7" i="18"/>
  <c r="AH4" i="18"/>
  <c r="B1" i="18"/>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AH12" i="17"/>
  <c r="AH4" i="17"/>
  <c r="B1" i="17"/>
  <c r="B1" i="15"/>
  <c r="B1" i="5"/>
  <c r="AH12" i="23" l="1"/>
  <c r="AH12" i="18"/>
  <c r="AH12" i="22"/>
  <c r="AH12" i="25"/>
  <c r="AH12" i="20"/>
  <c r="AH12" i="19"/>
  <c r="AH12" i="24"/>
  <c r="AB5" i="5"/>
  <c r="AH4" i="5" l="1"/>
  <c r="AH4" i="15" l="1"/>
  <c r="AG12" i="15" l="1"/>
  <c r="AF12" i="15"/>
  <c r="AH7" i="15"/>
  <c r="AH8" i="15"/>
  <c r="AH9" i="15"/>
  <c r="AH10" i="15"/>
  <c r="AH11" i="15"/>
  <c r="AH12" i="15" l="1"/>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AG5" i="15" l="1"/>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E5" i="5" l="1"/>
  <c r="AD5" i="5"/>
  <c r="AC5" i="5"/>
  <c r="AA5" i="5"/>
  <c r="Z5" i="5"/>
  <c r="Y5" i="5"/>
  <c r="X5" i="5"/>
  <c r="W5" i="5"/>
  <c r="V5" i="5"/>
  <c r="U5" i="5"/>
  <c r="T5" i="5"/>
  <c r="S5" i="5"/>
  <c r="R5" i="5"/>
  <c r="Q5" i="5"/>
  <c r="P5" i="5"/>
  <c r="O5" i="5"/>
  <c r="N5" i="5"/>
  <c r="M5" i="5"/>
  <c r="L5" i="5"/>
  <c r="K5" i="5"/>
  <c r="J5" i="5"/>
  <c r="I5" i="5"/>
  <c r="H5" i="5"/>
  <c r="G5" i="5"/>
  <c r="F5" i="5"/>
  <c r="E5" i="5"/>
  <c r="D5" i="5"/>
  <c r="C5" i="5"/>
</calcChain>
</file>

<file path=xl/sharedStrings.xml><?xml version="1.0" encoding="utf-8"?>
<sst xmlns="http://schemas.openxmlformats.org/spreadsheetml/2006/main" count="612" uniqueCount="70">
  <si>
    <t>Werknemersafwezigheidsplanning</t>
  </si>
  <si>
    <t>Januari</t>
  </si>
  <si>
    <t>Naam van werknemer</t>
  </si>
  <si>
    <t>V</t>
  </si>
  <si>
    <t>Afwezigheidsdatums</t>
  </si>
  <si>
    <t>1</t>
  </si>
  <si>
    <t>2</t>
  </si>
  <si>
    <t>3</t>
  </si>
  <si>
    <t>4</t>
  </si>
  <si>
    <t>Z</t>
  </si>
  <si>
    <t>5</t>
  </si>
  <si>
    <t>6</t>
  </si>
  <si>
    <t>7</t>
  </si>
  <si>
    <t>8</t>
  </si>
  <si>
    <t>9</t>
  </si>
  <si>
    <t>Ziek</t>
  </si>
  <si>
    <t>10</t>
  </si>
  <si>
    <t>11</t>
  </si>
  <si>
    <t>12</t>
  </si>
  <si>
    <t>13</t>
  </si>
  <si>
    <t>14</t>
  </si>
  <si>
    <t>15</t>
  </si>
  <si>
    <t>16</t>
  </si>
  <si>
    <t>17</t>
  </si>
  <si>
    <t>18</t>
  </si>
  <si>
    <t>19</t>
  </si>
  <si>
    <t>20</t>
  </si>
  <si>
    <t>21</t>
  </si>
  <si>
    <t>22</t>
  </si>
  <si>
    <t>23</t>
  </si>
  <si>
    <t>24</t>
  </si>
  <si>
    <t>25</t>
  </si>
  <si>
    <t>26</t>
  </si>
  <si>
    <t>27</t>
  </si>
  <si>
    <t>28</t>
  </si>
  <si>
    <t>29</t>
  </si>
  <si>
    <t>30</t>
  </si>
  <si>
    <t>31</t>
  </si>
  <si>
    <t>Voer het jaar in:</t>
  </si>
  <si>
    <t>Totaal aantal dagen</t>
  </si>
  <si>
    <t>Februari</t>
  </si>
  <si>
    <t xml:space="preserve"> </t>
  </si>
  <si>
    <t xml:space="preserve">  </t>
  </si>
  <si>
    <t>Maart</t>
  </si>
  <si>
    <t>April</t>
  </si>
  <si>
    <t>Juni</t>
  </si>
  <si>
    <t>Juli</t>
  </si>
  <si>
    <t>Augustus</t>
  </si>
  <si>
    <t>Oktober</t>
  </si>
  <si>
    <t>November</t>
  </si>
  <si>
    <t>December</t>
  </si>
  <si>
    <t>Werknemersnamen</t>
  </si>
  <si>
    <t>Mei</t>
  </si>
  <si>
    <t>September</t>
  </si>
  <si>
    <t>Werknemer 1</t>
  </si>
  <si>
    <t>Werknemer 2</t>
  </si>
  <si>
    <t>Werknemer 3</t>
  </si>
  <si>
    <t>Werknemer 4</t>
  </si>
  <si>
    <t>Werknemer 5</t>
  </si>
  <si>
    <t>1/2</t>
  </si>
  <si>
    <t>Halve dag verlof</t>
  </si>
  <si>
    <t>Verlof</t>
  </si>
  <si>
    <t>R</t>
  </si>
  <si>
    <t>Recup</t>
  </si>
  <si>
    <t>Van wacht</t>
  </si>
  <si>
    <t>W</t>
  </si>
  <si>
    <t>Totaal aantal</t>
  </si>
  <si>
    <t xml:space="preserve">Aantal dagen </t>
  </si>
  <si>
    <t>ziek</t>
  </si>
  <si>
    <t>dagen verlof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</si>
</sst>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ddd"/>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9"/>
      <color theme="1"/>
      <name val="Calibri"/>
      <family val="2"/>
      <scheme val="minor"/>
    </font>
    <font>
      <b/>
      <sz val="11"/>
      <color rgb="FFFFFF00"/>
      <name val="Calibri"/>
      <family val="2"/>
      <scheme val="minor"/>
    </font>
    <font>
      <b/>
      <sz val="11"/>
      <name val="Calibri"/>
      <family val="2"/>
      <scheme val="minor"/>
    </font>
    <font>
      <b/>
      <sz val="12"/>
      <color theme="1"/>
      <name val="Calibri"/>
      <family val="2"/>
      <scheme val="minor"/>
    </font>
    <font>
      <b/>
      <sz val="12"/>
      <name val="Calibri"/>
      <family val="2"/>
      <scheme val="minor"/>
    </font>
    <font>
      <b/>
      <sz val="14"/>
      <name val="Calibri"/>
      <family val="2"/>
      <scheme val="minor"/>
    </font>
    <font>
      <b/>
      <sz val="14"/>
      <color theme="1"/>
      <name val="Calibri"/>
      <family val="2"/>
      <scheme val="minor"/>
    </font>
    <font>
      <sz val="14"/>
      <color theme="1"/>
      <name val="Calibri"/>
      <family val="2"/>
      <scheme val="minor"/>
    </font>
  </fonts>
  <fills count="28">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7" tint="0.79998168889431442"/>
        <bgColor indexed="64"/>
      </patternFill>
    </fill>
  </fills>
  <borders count="8">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s>
  <cellStyleXfs count="28">
    <xf numFmtId="0" fontId="0" fillId="0" borderId="0">
      <alignment horizontal="left" vertical="center"/>
    </xf>
    <xf numFmtId="0" fontId="7" fillId="0" borderId="0" applyNumberFormat="0" applyFill="0" applyBorder="0" applyProtection="0">
      <alignment vertical="top"/>
    </xf>
    <xf numFmtId="0" fontId="5" fillId="0" borderId="0" applyNumberFormat="0" applyFill="0" applyBorder="0" applyProtection="0">
      <alignment vertical="top"/>
    </xf>
    <xf numFmtId="0" fontId="6" fillId="2" borderId="0" applyNumberFormat="0" applyBorder="0" applyProtection="0">
      <alignment horizontal="center" vertical="center"/>
    </xf>
    <xf numFmtId="0" fontId="2" fillId="20" borderId="0" applyNumberFormat="0" applyProtection="0">
      <alignment horizontal="right" vertical="center" indent="1"/>
    </xf>
    <xf numFmtId="0" fontId="3" fillId="0" borderId="0" applyNumberFormat="0" applyFill="0" applyBorder="0" applyProtection="0">
      <alignment horizontal="left" vertical="center" indent="2"/>
    </xf>
    <xf numFmtId="0" fontId="4"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4"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2" fillId="10" borderId="0" applyNumberFormat="0" applyBorder="0" applyAlignment="0" applyProtection="0"/>
    <xf numFmtId="0" fontId="4"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8" fillId="0" borderId="0">
      <alignment horizontal="center"/>
    </xf>
  </cellStyleXfs>
  <cellXfs count="57">
    <xf numFmtId="0" fontId="0" fillId="0" borderId="0" xfId="0">
      <alignment horizontal="left" vertical="center"/>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xf>
    <xf numFmtId="0" fontId="2" fillId="15" borderId="0" xfId="12" applyAlignment="1" applyProtection="1">
      <alignment horizontal="center" vertical="center"/>
    </xf>
    <xf numFmtId="0" fontId="1" fillId="0" borderId="0" xfId="26" applyFill="1" applyBorder="1">
      <alignment horizontal="left" vertical="center" wrapText="1" indent="2"/>
    </xf>
    <xf numFmtId="1" fontId="1" fillId="0" borderId="0" xfId="25" applyFill="1" applyBorder="1" applyProtection="1">
      <alignment horizontal="center" vertical="center"/>
    </xf>
    <xf numFmtId="0" fontId="0" fillId="0" borderId="0" xfId="0" applyProtection="1">
      <alignment horizontal="left" vertical="center"/>
    </xf>
    <xf numFmtId="0" fontId="6" fillId="2" borderId="0" xfId="3" applyProtection="1">
      <alignment horizontal="center" vertical="center"/>
    </xf>
    <xf numFmtId="164" fontId="0" fillId="0" borderId="0" xfId="0" applyNumberFormat="1" applyFont="1" applyFill="1" applyBorder="1" applyAlignment="1" applyProtection="1">
      <alignment horizontal="center" vertical="center"/>
    </xf>
    <xf numFmtId="0" fontId="7" fillId="0" borderId="0" xfId="1" applyAlignment="1" applyProtection="1">
      <alignment vertical="top"/>
    </xf>
    <xf numFmtId="0" fontId="1" fillId="2" borderId="0" xfId="21" applyBorder="1" applyAlignment="1" applyProtection="1">
      <alignment horizontal="left" vertical="center" indent="1"/>
    </xf>
    <xf numFmtId="0" fontId="0" fillId="0" borderId="0" xfId="21" applyFont="1" applyFill="1" applyBorder="1" applyAlignment="1" applyProtection="1">
      <alignment horizontal="center" vertical="center"/>
    </xf>
    <xf numFmtId="0" fontId="0" fillId="0" borderId="0" xfId="0" applyAlignment="1" applyProtection="1">
      <alignment horizontal="left" vertical="center" wrapText="1"/>
    </xf>
    <xf numFmtId="0" fontId="8" fillId="0" borderId="0" xfId="27" applyProtection="1">
      <alignment horizontal="center"/>
    </xf>
    <xf numFmtId="0" fontId="0" fillId="0" borderId="0" xfId="0" applyFont="1" applyFill="1" applyBorder="1" applyAlignment="1" applyProtection="1">
      <alignment horizontal="left" vertical="center" indent="1"/>
    </xf>
    <xf numFmtId="0" fontId="7" fillId="0" borderId="0" xfId="1">
      <alignment vertical="top"/>
    </xf>
    <xf numFmtId="0" fontId="0" fillId="0" borderId="0" xfId="26" applyFont="1">
      <alignment horizontal="left" vertical="center" wrapText="1" indent="2"/>
    </xf>
    <xf numFmtId="0" fontId="1" fillId="2" borderId="0" xfId="21" applyAlignment="1" applyProtection="1">
      <alignment horizontal="left" vertical="center"/>
    </xf>
    <xf numFmtId="0" fontId="2" fillId="21" borderId="0" xfId="4" applyFill="1" applyProtection="1">
      <alignment horizontal="right" vertical="center" indent="1"/>
    </xf>
    <xf numFmtId="0" fontId="9" fillId="0" borderId="0" xfId="0" applyFont="1" applyProtection="1">
      <alignment horizontal="left" vertical="center"/>
    </xf>
    <xf numFmtId="49" fontId="2" fillId="10" borderId="0" xfId="19" applyNumberFormat="1" applyFont="1" applyAlignment="1" applyProtection="1">
      <alignment horizontal="center" vertical="center"/>
    </xf>
    <xf numFmtId="164" fontId="2" fillId="0" borderId="0" xfId="24" applyNumberFormat="1" applyFont="1" applyFill="1" applyAlignment="1" applyProtection="1">
      <alignment horizontal="center" vertical="center"/>
    </xf>
    <xf numFmtId="0" fontId="1" fillId="0" borderId="0" xfId="21" applyFill="1" applyAlignment="1" applyProtection="1">
      <alignment horizontal="left" vertical="center"/>
    </xf>
    <xf numFmtId="0" fontId="0" fillId="21" borderId="0" xfId="0" applyFill="1" applyAlignment="1">
      <alignment horizontal="left" vertical="center"/>
    </xf>
    <xf numFmtId="0" fontId="2" fillId="21" borderId="0" xfId="23" applyFont="1" applyFill="1" applyAlignment="1" applyProtection="1">
      <alignment horizontal="left" vertical="center"/>
    </xf>
    <xf numFmtId="0" fontId="10" fillId="22" borderId="0" xfId="23" applyFont="1" applyFill="1" applyAlignment="1" applyProtection="1">
      <alignment horizontal="center" vertical="center"/>
    </xf>
    <xf numFmtId="164" fontId="2" fillId="0" borderId="0" xfId="8" applyNumberFormat="1" applyFont="1" applyFill="1" applyAlignment="1" applyProtection="1">
      <alignment horizontal="center" vertical="center"/>
    </xf>
    <xf numFmtId="0" fontId="2" fillId="2" borderId="0" xfId="21" applyFont="1" applyAlignment="1" applyProtection="1">
      <alignment horizontal="left" vertical="center"/>
    </xf>
    <xf numFmtId="164" fontId="2" fillId="25" borderId="0" xfId="8" applyNumberFormat="1" applyFont="1" applyFill="1" applyAlignment="1" applyProtection="1">
      <alignment horizontal="center" vertical="center"/>
    </xf>
    <xf numFmtId="164" fontId="11" fillId="24" borderId="0" xfId="24" applyNumberFormat="1" applyFont="1" applyFill="1" applyAlignment="1" applyProtection="1">
      <alignment horizontal="center" vertical="center"/>
    </xf>
    <xf numFmtId="0" fontId="6" fillId="0" borderId="0" xfId="3" applyFill="1" applyProtection="1">
      <alignment horizontal="center" vertical="center"/>
    </xf>
    <xf numFmtId="0" fontId="6" fillId="23" borderId="0" xfId="3" applyFill="1" applyProtection="1">
      <alignment horizontal="center" vertical="center"/>
    </xf>
    <xf numFmtId="0" fontId="0" fillId="23" borderId="0" xfId="0" applyFill="1">
      <alignment horizontal="left" vertical="center"/>
    </xf>
    <xf numFmtId="0" fontId="1" fillId="23" borderId="0" xfId="26" applyFill="1" applyBorder="1">
      <alignment horizontal="left" vertical="center" wrapText="1" indent="2"/>
    </xf>
    <xf numFmtId="0" fontId="14" fillId="23" borderId="7" xfId="3" applyFont="1" applyFill="1" applyBorder="1" applyProtection="1">
      <alignment horizontal="center" vertical="center"/>
    </xf>
    <xf numFmtId="0" fontId="14" fillId="23" borderId="2" xfId="21" applyFont="1" applyFill="1" applyBorder="1" applyAlignment="1" applyProtection="1">
      <alignment horizontal="center" vertical="center"/>
    </xf>
    <xf numFmtId="0" fontId="14" fillId="23" borderId="1" xfId="0" applyFont="1" applyFill="1" applyBorder="1" applyAlignment="1">
      <alignment horizontal="center" vertical="center"/>
    </xf>
    <xf numFmtId="0" fontId="15" fillId="23" borderId="2" xfId="0" applyFont="1" applyFill="1" applyBorder="1" applyAlignment="1">
      <alignment horizontal="center" vertical="center"/>
    </xf>
    <xf numFmtId="0" fontId="16" fillId="0" borderId="4" xfId="0" applyFont="1" applyFill="1" applyBorder="1" applyAlignment="1">
      <alignment horizontal="center" vertical="center"/>
    </xf>
    <xf numFmtId="12" fontId="12" fillId="0" borderId="0" xfId="0" applyNumberFormat="1" applyFont="1" applyFill="1" applyBorder="1" applyAlignment="1" applyProtection="1">
      <alignment horizontal="center" vertical="center"/>
    </xf>
    <xf numFmtId="0" fontId="13" fillId="26" borderId="0" xfId="0" applyFont="1" applyFill="1" applyBorder="1" applyAlignment="1" applyProtection="1">
      <alignment horizontal="center" vertical="center"/>
    </xf>
    <xf numFmtId="0" fontId="2" fillId="26" borderId="0" xfId="21" applyFont="1" applyFill="1" applyBorder="1" applyAlignment="1" applyProtection="1">
      <alignment horizontal="left" vertical="center" indent="1"/>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165" fontId="16" fillId="0" borderId="4" xfId="25" applyNumberFormat="1" applyFont="1" applyFill="1" applyBorder="1" applyProtection="1">
      <alignment horizontal="center" vertical="center"/>
    </xf>
    <xf numFmtId="165" fontId="16" fillId="0" borderId="3" xfId="25" applyNumberFormat="1" applyFont="1" applyFill="1" applyBorder="1" applyProtection="1">
      <alignment horizontal="center" vertical="center"/>
    </xf>
    <xf numFmtId="165" fontId="16" fillId="0" borderId="5" xfId="25" applyNumberFormat="1" applyFont="1" applyFill="1" applyBorder="1" applyProtection="1">
      <alignment horizontal="center" vertical="center"/>
    </xf>
    <xf numFmtId="166" fontId="12" fillId="27" borderId="6" xfId="0" applyNumberFormat="1" applyFont="1" applyFill="1" applyBorder="1" applyAlignment="1" applyProtection="1">
      <alignment horizontal="center" vertical="center"/>
    </xf>
    <xf numFmtId="166" fontId="12" fillId="0" borderId="6" xfId="0" applyNumberFormat="1" applyFont="1" applyFill="1" applyBorder="1" applyAlignment="1" applyProtection="1">
      <alignment horizontal="center" vertical="center"/>
    </xf>
    <xf numFmtId="0" fontId="6" fillId="23" borderId="0" xfId="3" applyFill="1" applyProtection="1">
      <alignment horizontal="center" vertical="center"/>
    </xf>
    <xf numFmtId="0" fontId="1" fillId="0" borderId="0" xfId="21" applyFill="1" applyAlignment="1" applyProtection="1">
      <alignment horizontal="left" vertical="center"/>
    </xf>
    <xf numFmtId="0" fontId="2" fillId="2" borderId="0" xfId="21" applyFont="1" applyAlignment="1" applyProtection="1">
      <alignment horizontal="left" vertical="center"/>
    </xf>
    <xf numFmtId="0" fontId="2" fillId="0" borderId="0" xfId="0" applyFont="1" applyAlignment="1">
      <alignment horizontal="left" vertical="center"/>
    </xf>
    <xf numFmtId="49" fontId="2" fillId="21" borderId="0" xfId="19" applyNumberFormat="1" applyFont="1" applyFill="1" applyAlignment="1" applyProtection="1">
      <alignment horizontal="left" vertical="center"/>
    </xf>
    <xf numFmtId="0" fontId="0" fillId="0" borderId="0" xfId="0" applyAlignment="1">
      <alignment horizontal="left" vertical="center"/>
    </xf>
    <xf numFmtId="164" fontId="2" fillId="21" borderId="0" xfId="8" applyNumberFormat="1" applyFont="1" applyFill="1" applyAlignment="1" applyProtection="1">
      <alignment horizontal="left" vertical="center"/>
    </xf>
    <xf numFmtId="0" fontId="6" fillId="2" borderId="0" xfId="3" applyProtection="1">
      <alignment horizontal="center" vertical="center"/>
    </xf>
  </cellXfs>
  <cellStyles count="28">
    <cellStyle name="20% - Accent1" xfId="15" builtinId="30" customBuiltin="1"/>
    <cellStyle name="20% - Accent3" xfId="21" builtinId="38" customBuiltin="1"/>
    <cellStyle name="20% - Accent4" xfId="7" builtinId="42"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3" xfId="23" builtinId="40" customBuiltin="1"/>
    <cellStyle name="60% - Accent4" xfId="9" builtinId="44"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6" xfId="10" builtinId="49" customBuiltin="1"/>
    <cellStyle name="Etiket" xfId="27"/>
    <cellStyle name="Kop 1" xfId="2" builtinId="16" customBuiltin="1"/>
    <cellStyle name="Kop 2" xfId="3" builtinId="17" customBuiltin="1"/>
    <cellStyle name="Kop 3" xfId="4" builtinId="18" customBuiltin="1"/>
    <cellStyle name="Kop 4" xfId="5" builtinId="19" customBuiltin="1"/>
    <cellStyle name="Standaard" xfId="0" builtinId="0" customBuiltin="1"/>
    <cellStyle name="Titel" xfId="1" builtinId="15" customBuiltin="1"/>
    <cellStyle name="Totaal" xfId="25" builtinId="25" customBuiltin="1"/>
    <cellStyle name="Werknemer" xfId="26"/>
  </cellStyles>
  <dxfs count="1033">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font>
        <strike val="0"/>
        <outline val="0"/>
        <shadow val="0"/>
        <u val="none"/>
        <vertAlign val="baseline"/>
        <sz val="14"/>
        <color theme="1"/>
        <name val="Calibri"/>
        <family val="2"/>
        <scheme val="minor"/>
      </font>
      <numFmt numFmtId="165" formatCode="0.0"/>
      <fill>
        <patternFill patternType="none">
          <fgColor indexed="64"/>
          <bgColor auto="1"/>
        </patternFill>
      </fill>
      <border diagonalUp="0" diagonalDown="0">
        <left style="medium">
          <color auto="1"/>
        </left>
        <right style="medium">
          <color auto="1"/>
        </right>
        <top style="thin">
          <color auto="1"/>
        </top>
        <bottom style="thin">
          <color auto="1"/>
        </bottom>
      </border>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border outline="0">
        <left/>
        <right style="medium">
          <color auto="1"/>
        </right>
      </border>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protection locked="1" hidden="0"/>
    </dxf>
    <dxf>
      <alignment horizontal="left" vertical="center" textRotation="0" wrapText="0" indent="1" justifyLastLine="0" shrinkToFit="0" readingOrder="0"/>
      <border diagonalUp="0" diagonalDown="0">
        <left/>
        <right/>
        <top/>
        <bottom/>
      </border>
      <protection locked="1" hidden="0"/>
    </dxf>
    <dxf>
      <fill>
        <patternFill patternType="solid">
          <fgColor indexed="64"/>
          <bgColor theme="6" tint="0.59999389629810485"/>
        </patternFill>
      </fill>
    </dxf>
    <dxf>
      <protection locked="1" hidden="0"/>
    </dxf>
    <dxf>
      <protection locked="1" hidden="0"/>
    </dxf>
    <dxf>
      <protection locked="1" hidden="0"/>
    </dxf>
    <dxf>
      <fill>
        <patternFill>
          <bgColor theme="6" tint="0.39994506668294322"/>
        </patternFill>
      </fill>
    </dxf>
    <dxf>
      <font>
        <b/>
        <i val="0"/>
        <strike val="0"/>
      </font>
      <fill>
        <patternFill>
          <bgColor theme="7" tint="0.59996337778862885"/>
        </patternFill>
      </fill>
    </dxf>
    <dxf>
      <font>
        <b/>
        <i val="0"/>
        <strike/>
      </font>
      <fill>
        <patternFill>
          <bgColor rgb="FF00B0F0"/>
        </patternFill>
      </fill>
    </dxf>
    <dxf>
      <font>
        <strike val="0"/>
        <color rgb="FFFFFF00"/>
      </font>
      <fill>
        <patternFill>
          <bgColor rgb="FFFF0000"/>
        </patternFill>
      </fill>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ill>
        <patternFill>
          <bgColor theme="6" tint="-0.2499465926084170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0"/>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i val="0"/>
        <color auto="1"/>
      </font>
      <fill>
        <patternFill>
          <bgColor rgb="FFFFFF00"/>
        </patternFill>
      </fill>
    </dxf>
    <dxf>
      <fill>
        <patternFill>
          <bgColor theme="6" tint="0.39994506668294322"/>
        </patternFill>
      </fill>
    </dxf>
    <dxf>
      <font>
        <color rgb="FF9C5700"/>
      </font>
      <fill>
        <patternFill>
          <bgColor rgb="FFFFEB9C"/>
        </patternFill>
      </fill>
    </dxf>
    <dxf>
      <font>
        <color rgb="FF9C0006"/>
      </font>
      <fill>
        <patternFill>
          <bgColor rgb="FFFFC7CE"/>
        </patternFill>
      </fill>
    </dxf>
    <dxf>
      <font>
        <b/>
        <i val="0"/>
      </font>
    </dxf>
    <dxf>
      <fill>
        <patternFill>
          <bgColor theme="5" tint="0.59996337778862885"/>
        </patternFill>
      </fill>
    </dxf>
    <dxf>
      <font>
        <b/>
        <i val="0"/>
        <color theme="1"/>
      </font>
      <fill>
        <patternFill>
          <bgColor theme="6" tint="0.39994506668294322"/>
        </patternFill>
      </fill>
    </dxf>
    <dxf>
      <font>
        <b/>
        <i val="0"/>
      </font>
      <fill>
        <patternFill>
          <bgColor theme="6" tint="0.39994506668294322"/>
        </patternFill>
      </fill>
    </dxf>
    <dxf>
      <fill>
        <patternFill>
          <bgColor theme="6" tint="0.39994506668294322"/>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TableStyle="Werknemersafwezigheidstabel" defaultPivotStyle="PivotStyleLight16">
    <tableStyle name="Werknemersafwezigheidstabel" pivot="0" count="13">
      <tableStyleElement type="wholeTable" dxfId="1032"/>
      <tableStyleElement type="headerRow" dxfId="1031"/>
      <tableStyleElement type="totalRow" dxfId="1030"/>
      <tableStyleElement type="firstColumn" dxfId="1029"/>
      <tableStyleElement type="lastColumn" dxfId="1028"/>
      <tableStyleElement type="firstRowStripe" dxfId="1027"/>
      <tableStyleElement type="secondRowStripe" dxfId="1026"/>
      <tableStyleElement type="firstColumnStripe" dxfId="1025"/>
      <tableStyleElement type="secondColumnStripe" dxfId="1024"/>
      <tableStyleElement type="firstHeaderCell" dxfId="1023"/>
      <tableStyleElement type="lastHeaderCell" dxfId="1022"/>
      <tableStyleElement type="firstTotalCell" dxfId="1021"/>
      <tableStyleElement type="lastTotalCell" dxfId="10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Januari" displayName="Januari" ref="B6:AH11" totalsRowShown="0" headerRowDxfId="984" dataDxfId="983" totalsRowDxfId="982">
  <autoFilter ref="B6:AH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name="Naam van werknemer" dataDxfId="981" totalsRowDxfId="980"/>
    <tableColumn id="2" name="1" dataDxfId="979"/>
    <tableColumn id="3" name="2" dataDxfId="978"/>
    <tableColumn id="4" name="3" dataDxfId="977"/>
    <tableColumn id="5" name="4" dataDxfId="976"/>
    <tableColumn id="6" name="5" dataDxfId="975"/>
    <tableColumn id="7" name="6" dataDxfId="974"/>
    <tableColumn id="8" name="7" dataDxfId="973"/>
    <tableColumn id="9" name="8" dataDxfId="972"/>
    <tableColumn id="10" name="9" dataDxfId="971"/>
    <tableColumn id="11" name="10" dataDxfId="970"/>
    <tableColumn id="12" name="11" dataDxfId="969"/>
    <tableColumn id="13" name="12" dataDxfId="968"/>
    <tableColumn id="14" name="13" dataDxfId="967"/>
    <tableColumn id="15" name="14" dataDxfId="966"/>
    <tableColumn id="16" name="15" dataDxfId="965"/>
    <tableColumn id="17" name="16" dataDxfId="964"/>
    <tableColumn id="18" name="17" dataDxfId="963"/>
    <tableColumn id="19" name="18" dataDxfId="962"/>
    <tableColumn id="20" name="19" dataDxfId="961"/>
    <tableColumn id="21" name="20" dataDxfId="960"/>
    <tableColumn id="22" name="21" dataDxfId="959"/>
    <tableColumn id="23" name="22" dataDxfId="958"/>
    <tableColumn id="24" name="23" dataDxfId="957"/>
    <tableColumn id="25" name="24" dataDxfId="956"/>
    <tableColumn id="26" name="25" dataDxfId="955"/>
    <tableColumn id="27" name="26" dataDxfId="954"/>
    <tableColumn id="28" name="27" dataDxfId="953"/>
    <tableColumn id="29" name="28" dataDxfId="952"/>
    <tableColumn id="30" name="29" dataDxfId="951"/>
    <tableColumn id="31" name="30" dataDxfId="950"/>
    <tableColumn id="32" name="31" dataDxfId="949"/>
    <tableColumn id="33" name="dagen verlof" dataDxfId="948">
      <calculatedColumnFormula>COUNTA(Januari!$C7:$AG7)-COUNT(Januari!$C7:$AG7)+(COUNTIF(Januari!$C7:$AG7,"&lt;1")/2)-COUNTIF(Januari!$C7:$AG7,"W")-COUNTIF(Januari!$C7:$AG7,"Z")-COUNTIF(Januari!$C7:$AG7,"R")</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10.xml><?xml version="1.0" encoding="utf-8"?>
<table xmlns="http://schemas.openxmlformats.org/spreadsheetml/2006/main" id="21" name="Oktober" displayName="Oktober" ref="B6:AH12" totalsRowCount="1" headerRowDxfId="240" dataDxfId="239" totalsRowDxfId="238">
  <tableColumns count="33">
    <tableColumn id="1" name="Naam van werknemer" totalsRowFunction="custom" dataDxfId="237" totalsRowDxfId="236" dataCellStyle="Werknemer">
      <totalsRowFormula>MonthName&amp;" totaal"</totalsRowFormula>
    </tableColumn>
    <tableColumn id="2" name="1" totalsRowFunction="count" dataDxfId="235" totalsRowDxfId="234"/>
    <tableColumn id="3" name="2" totalsRowFunction="count" dataDxfId="233" totalsRowDxfId="232"/>
    <tableColumn id="4" name="3" totalsRowFunction="count" dataDxfId="231" totalsRowDxfId="230"/>
    <tableColumn id="5" name="4" totalsRowFunction="count" dataDxfId="229" totalsRowDxfId="228"/>
    <tableColumn id="6" name="5" totalsRowFunction="count" dataDxfId="227" totalsRowDxfId="226"/>
    <tableColumn id="7" name="6" totalsRowFunction="count" dataDxfId="225" totalsRowDxfId="224"/>
    <tableColumn id="8" name="7" totalsRowFunction="count" dataDxfId="223" totalsRowDxfId="222"/>
    <tableColumn id="9" name="8" totalsRowFunction="count" dataDxfId="221" totalsRowDxfId="220"/>
    <tableColumn id="10" name="9" totalsRowFunction="count" dataDxfId="219" totalsRowDxfId="218"/>
    <tableColumn id="11" name="10" totalsRowFunction="count" dataDxfId="217" totalsRowDxfId="216"/>
    <tableColumn id="12" name="11" totalsRowFunction="count" dataDxfId="215" totalsRowDxfId="214"/>
    <tableColumn id="13" name="12" totalsRowFunction="count" dataDxfId="213" totalsRowDxfId="212"/>
    <tableColumn id="14" name="13" totalsRowFunction="count" dataDxfId="211" totalsRowDxfId="210"/>
    <tableColumn id="15" name="14" totalsRowFunction="count" dataDxfId="209" totalsRowDxfId="208"/>
    <tableColumn id="16" name="15" totalsRowFunction="count" dataDxfId="207" totalsRowDxfId="206"/>
    <tableColumn id="17" name="16" totalsRowFunction="count" dataDxfId="205" totalsRowDxfId="204"/>
    <tableColumn id="18" name="17" totalsRowFunction="count" dataDxfId="203" totalsRowDxfId="202"/>
    <tableColumn id="19" name="18" totalsRowFunction="count" dataDxfId="201" totalsRowDxfId="200"/>
    <tableColumn id="20" name="19" totalsRowFunction="count" dataDxfId="199" totalsRowDxfId="198"/>
    <tableColumn id="21" name="20" totalsRowFunction="count" dataDxfId="197" totalsRowDxfId="196"/>
    <tableColumn id="22" name="21" totalsRowFunction="count" dataDxfId="195" totalsRowDxfId="194"/>
    <tableColumn id="23" name="22" totalsRowFunction="count" dataDxfId="193" totalsRowDxfId="192"/>
    <tableColumn id="24" name="23" totalsRowFunction="count" dataDxfId="191" totalsRowDxfId="190"/>
    <tableColumn id="25" name="24" totalsRowFunction="count" dataDxfId="189" totalsRowDxfId="188"/>
    <tableColumn id="26" name="25" totalsRowFunction="count" dataDxfId="187" totalsRowDxfId="186"/>
    <tableColumn id="27" name="26" totalsRowFunction="count" dataDxfId="185" totalsRowDxfId="184"/>
    <tableColumn id="28" name="27" totalsRowFunction="count" dataDxfId="183" totalsRowDxfId="182"/>
    <tableColumn id="29" name="28" totalsRowFunction="count" dataDxfId="181" totalsRowDxfId="180"/>
    <tableColumn id="30" name="29" totalsRowFunction="count" dataDxfId="179" totalsRowDxfId="178"/>
    <tableColumn id="31" name="30" totalsRowFunction="sum" dataDxfId="177" totalsRowDxfId="176"/>
    <tableColumn id="32" name="31" totalsRowFunction="sum" dataDxfId="175" totalsRowDxfId="174"/>
    <tableColumn id="33" name="Totaal aantal dagen" totalsRowFunction="sum" dataDxfId="173" totalsRowDxfId="172">
      <calculatedColumnFormula>COUNTA(Oktober[[#This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11.xml><?xml version="1.0" encoding="utf-8"?>
<table xmlns="http://schemas.openxmlformats.org/spreadsheetml/2006/main" id="22" name="November" displayName="November" ref="B6:AH12" totalsRowCount="1" headerRowDxfId="154" dataDxfId="153" totalsRowDxfId="152">
  <tableColumns count="33">
    <tableColumn id="1" name="Naam van werknemer" totalsRowFunction="custom" dataDxfId="151" totalsRowDxfId="150" dataCellStyle="Werknemer">
      <totalsRowFormula>MonthName&amp;" totaal"</totalsRowFormula>
    </tableColumn>
    <tableColumn id="2" name="1" totalsRowFunction="count" dataDxfId="149" totalsRowDxfId="148"/>
    <tableColumn id="3" name="2" totalsRowFunction="count" dataDxfId="147" totalsRowDxfId="146"/>
    <tableColumn id="4" name="3" totalsRowFunction="count" dataDxfId="145" totalsRowDxfId="144"/>
    <tableColumn id="5" name="4" totalsRowFunction="count" dataDxfId="143" totalsRowDxfId="142"/>
    <tableColumn id="6" name="5" totalsRowFunction="count" dataDxfId="141" totalsRowDxfId="140"/>
    <tableColumn id="7" name="6" totalsRowFunction="count" dataDxfId="139" totalsRowDxfId="138"/>
    <tableColumn id="8" name="7" totalsRowFunction="count" dataDxfId="137" totalsRowDxfId="136"/>
    <tableColumn id="9" name="8" totalsRowFunction="count" dataDxfId="135" totalsRowDxfId="134"/>
    <tableColumn id="10" name="9" totalsRowFunction="count" dataDxfId="133" totalsRowDxfId="132"/>
    <tableColumn id="11" name="10" totalsRowFunction="count" dataDxfId="131" totalsRowDxfId="130"/>
    <tableColumn id="12" name="11" totalsRowFunction="count" dataDxfId="129" totalsRowDxfId="128"/>
    <tableColumn id="13" name="12" totalsRowFunction="count" dataDxfId="127" totalsRowDxfId="126"/>
    <tableColumn id="14" name="13" totalsRowFunction="count" dataDxfId="125" totalsRowDxfId="124"/>
    <tableColumn id="15" name="14" totalsRowFunction="count" dataDxfId="123" totalsRowDxfId="122"/>
    <tableColumn id="16" name="15" totalsRowFunction="count" dataDxfId="121" totalsRowDxfId="120"/>
    <tableColumn id="17" name="16" totalsRowFunction="count" dataDxfId="119" totalsRowDxfId="118"/>
    <tableColumn id="18" name="17" totalsRowFunction="count" dataDxfId="117" totalsRowDxfId="116"/>
    <tableColumn id="19" name="18" totalsRowFunction="count" dataDxfId="115" totalsRowDxfId="114"/>
    <tableColumn id="20" name="19" totalsRowFunction="count" dataDxfId="113" totalsRowDxfId="112"/>
    <tableColumn id="21" name="20" totalsRowFunction="count" dataDxfId="111" totalsRowDxfId="110"/>
    <tableColumn id="22" name="21" totalsRowFunction="count" dataDxfId="109" totalsRowDxfId="108"/>
    <tableColumn id="23" name="22" totalsRowFunction="count" dataDxfId="107" totalsRowDxfId="106"/>
    <tableColumn id="24" name="23" totalsRowFunction="count" dataDxfId="105" totalsRowDxfId="104"/>
    <tableColumn id="25" name="24" totalsRowFunction="count" dataDxfId="103" totalsRowDxfId="102"/>
    <tableColumn id="26" name="25" totalsRowFunction="count" dataDxfId="101" totalsRowDxfId="100"/>
    <tableColumn id="27" name="26" totalsRowFunction="count" dataDxfId="99" totalsRowDxfId="98"/>
    <tableColumn id="28" name="27" totalsRowFunction="count" dataDxfId="97" totalsRowDxfId="96"/>
    <tableColumn id="29" name="28" totalsRowFunction="count" dataDxfId="95" totalsRowDxfId="94"/>
    <tableColumn id="30" name="29" totalsRowFunction="count" dataDxfId="93" totalsRowDxfId="92"/>
    <tableColumn id="31" name="30" totalsRowFunction="sum" dataDxfId="91" totalsRowDxfId="90"/>
    <tableColumn id="32" name="31" totalsRowFunction="sum" dataDxfId="89" totalsRowDxfId="88"/>
    <tableColumn id="33" name="Totaal aantal dagen" totalsRowFunction="sum" dataDxfId="87" totalsRowDxfId="86">
      <calculatedColumnFormula>COUNTA(November[[#This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12.xml><?xml version="1.0" encoding="utf-8"?>
<table xmlns="http://schemas.openxmlformats.org/spreadsheetml/2006/main" id="12" name="December" displayName="December" ref="B6:AH12" totalsRowCount="1" headerRowDxfId="68" dataDxfId="67" totalsRowDxfId="66">
  <tableColumns count="33">
    <tableColumn id="1" name="Naam van werknemer" totalsRowFunction="custom" dataDxfId="65" totalsRowDxfId="64" dataCellStyle="Werknemer">
      <totalsRowFormula>MonthName&amp;" totaal"</totalsRowFormula>
    </tableColumn>
    <tableColumn id="2" name="1" totalsRowFunction="count" dataDxfId="63" totalsRowDxfId="62"/>
    <tableColumn id="3" name="2" totalsRowFunction="count" dataDxfId="61" totalsRowDxfId="60"/>
    <tableColumn id="4" name="3" totalsRowFunction="count" dataDxfId="59" totalsRowDxfId="58"/>
    <tableColumn id="5" name="4" totalsRowFunction="count" dataDxfId="57" totalsRowDxfId="56"/>
    <tableColumn id="6" name="5" totalsRowFunction="count" dataDxfId="55" totalsRowDxfId="54"/>
    <tableColumn id="7" name="6" totalsRowFunction="count" dataDxfId="53" totalsRowDxfId="52"/>
    <tableColumn id="8" name="7" totalsRowFunction="count" dataDxfId="51" totalsRowDxfId="50"/>
    <tableColumn id="9" name="8" totalsRowFunction="count" dataDxfId="49" totalsRowDxfId="48"/>
    <tableColumn id="10" name="9" totalsRowFunction="count" dataDxfId="47" totalsRowDxfId="46"/>
    <tableColumn id="11" name="10" totalsRowFunction="count" dataDxfId="45" totalsRowDxfId="44"/>
    <tableColumn id="12" name="11" totalsRowFunction="count" dataDxfId="43" totalsRowDxfId="42"/>
    <tableColumn id="13" name="12" totalsRowFunction="count" dataDxfId="41" totalsRowDxfId="40"/>
    <tableColumn id="14" name="13" totalsRowFunction="count" dataDxfId="39" totalsRowDxfId="38"/>
    <tableColumn id="15" name="14" totalsRowFunction="count" dataDxfId="37" totalsRowDxfId="36"/>
    <tableColumn id="16" name="15" totalsRowFunction="count" dataDxfId="35" totalsRowDxfId="34"/>
    <tableColumn id="17" name="16" totalsRowFunction="count" dataDxfId="33" totalsRowDxfId="32"/>
    <tableColumn id="18" name="17" totalsRowFunction="count" dataDxfId="31" totalsRowDxfId="30"/>
    <tableColumn id="19" name="18" totalsRowFunction="count" dataDxfId="29" totalsRowDxfId="28"/>
    <tableColumn id="20" name="19" totalsRowFunction="count" dataDxfId="27" totalsRowDxfId="26"/>
    <tableColumn id="21" name="20" totalsRowFunction="count" dataDxfId="25" totalsRowDxfId="24"/>
    <tableColumn id="22" name="21" totalsRowFunction="count" dataDxfId="23" totalsRowDxfId="22"/>
    <tableColumn id="23" name="22" totalsRowFunction="count" dataDxfId="21" totalsRowDxfId="20"/>
    <tableColumn id="24" name="23" totalsRowFunction="count" dataDxfId="19" totalsRowDxfId="18"/>
    <tableColumn id="25" name="24" totalsRowFunction="count" dataDxfId="17" totalsRowDxfId="16"/>
    <tableColumn id="26" name="25" totalsRowFunction="count" dataDxfId="15" totalsRowDxfId="14"/>
    <tableColumn id="27" name="26" totalsRowFunction="count" dataDxfId="13" totalsRowDxfId="12"/>
    <tableColumn id="28" name="27" totalsRowFunction="count" dataDxfId="11" totalsRowDxfId="10"/>
    <tableColumn id="29" name="28" totalsRowFunction="count" dataDxfId="9" totalsRowDxfId="8"/>
    <tableColumn id="30" name="29" totalsRowFunction="count" dataDxfId="7" totalsRowDxfId="6"/>
    <tableColumn id="31" name="30" totalsRowFunction="sum" dataDxfId="5" totalsRowDxfId="4"/>
    <tableColumn id="32" name="31" totalsRowFunction="sum" dataDxfId="3" totalsRowDxfId="2"/>
    <tableColumn id="33" name="Totaal aantal dagen" totalsRowFunction="sum" dataDxfId="1" totalsRowDxfId="0">
      <calculatedColumnFormula>COUNTA(December[[#This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Biedt een lijst met namen en kalenderdatums om de afwezigheid van werknemers en specifiek afwezigheidstype vast te leggen, zoals V = vakantie, Z = ziek, P = persoonlijk en twee tijdelijke aanduidingen voor aangepaste vermeldingen"/>
    </ext>
  </extLst>
</table>
</file>

<file path=xl/tables/table13.xml><?xml version="1.0" encoding="utf-8"?>
<table xmlns="http://schemas.openxmlformats.org/spreadsheetml/2006/main" id="13" name="NaamVanWerknemer" displayName="NaamVanWerknemer" ref="B3:B8" totalsRowShown="0" dataCellStyle="Werknemer">
  <autoFilter ref="B3:B8"/>
  <tableColumns count="1">
    <tableColumn id="1" name="Werknemersnamen" dataCellStyle="Werknemer"/>
  </tableColumns>
  <tableStyleInfo name="Werknemersafwezigheidstabel" showFirstColumn="1" showLastColumn="1" showRowStripes="1" showColumnStripes="0"/>
  <extLst>
    <ext xmlns:x14="http://schemas.microsoft.com/office/spreadsheetml/2009/9/main" uri="{504A1905-F514-4f6f-8877-14C23A59335A}">
      <x14:table altTextSummary="Voer de werknemersnamen in deze tabel in. Deze namen worden gebruikt als optie in kolom B van de afwezigheidsplanning van elke maand"/>
    </ext>
  </extLst>
</table>
</file>

<file path=xl/tables/table2.xml><?xml version="1.0" encoding="utf-8"?>
<table xmlns="http://schemas.openxmlformats.org/spreadsheetml/2006/main" id="2" name="Februari" displayName="Februari" ref="B6:AH11" totalsRowShown="0" headerRowDxfId="928" dataDxfId="927" totalsRowDxfId="926">
  <tableColumns count="33">
    <tableColumn id="1" name="Naam van werknemer" dataDxfId="925" totalsRowDxfId="924" dataCellStyle="Werknemer"/>
    <tableColumn id="2" name="1" dataDxfId="923" totalsRowDxfId="922"/>
    <tableColumn id="3" name="2" dataDxfId="921" totalsRowDxfId="920"/>
    <tableColumn id="4" name="3" dataDxfId="919" totalsRowDxfId="918"/>
    <tableColumn id="5" name="4" dataDxfId="917" totalsRowDxfId="916"/>
    <tableColumn id="6" name="5" dataDxfId="915" totalsRowDxfId="914"/>
    <tableColumn id="7" name="6" dataDxfId="913" totalsRowDxfId="912"/>
    <tableColumn id="8" name="7" dataDxfId="911" totalsRowDxfId="910"/>
    <tableColumn id="9" name="8" dataDxfId="909" totalsRowDxfId="908"/>
    <tableColumn id="10" name="9" dataDxfId="907" totalsRowDxfId="906"/>
    <tableColumn id="11" name="10" dataDxfId="905" totalsRowDxfId="904"/>
    <tableColumn id="12" name="11" dataDxfId="903" totalsRowDxfId="902"/>
    <tableColumn id="13" name="12" dataDxfId="901" totalsRowDxfId="900"/>
    <tableColumn id="14" name="13" dataDxfId="899" totalsRowDxfId="898"/>
    <tableColumn id="15" name="14" dataDxfId="897" totalsRowDxfId="896"/>
    <tableColumn id="16" name="15" dataDxfId="895" totalsRowDxfId="894"/>
    <tableColumn id="17" name="16" dataDxfId="893" totalsRowDxfId="892"/>
    <tableColumn id="18" name="17" dataDxfId="891" totalsRowDxfId="890"/>
    <tableColumn id="19" name="18" dataDxfId="889" totalsRowDxfId="888"/>
    <tableColumn id="20" name="19" dataDxfId="887" totalsRowDxfId="886"/>
    <tableColumn id="21" name="20" dataDxfId="885" totalsRowDxfId="884"/>
    <tableColumn id="22" name="21" dataDxfId="883" totalsRowDxfId="882"/>
    <tableColumn id="23" name="22" dataDxfId="881" totalsRowDxfId="880"/>
    <tableColumn id="24" name="23" dataDxfId="879" totalsRowDxfId="878"/>
    <tableColumn id="25" name="24" dataDxfId="877" totalsRowDxfId="876"/>
    <tableColumn id="26" name="25" dataDxfId="875" totalsRowDxfId="874"/>
    <tableColumn id="27" name="26" dataDxfId="873" totalsRowDxfId="872"/>
    <tableColumn id="28" name="27" dataDxfId="871" totalsRowDxfId="870"/>
    <tableColumn id="29" name="28" dataDxfId="869" totalsRowDxfId="868"/>
    <tableColumn id="30" name="29" dataDxfId="867" totalsRowDxfId="866"/>
    <tableColumn id="31" name=" " dataDxfId="865" totalsRowDxfId="864"/>
    <tableColumn id="32" name="  " dataDxfId="863" totalsRowDxfId="862"/>
    <tableColumn id="33" name="Totaal aantal dagen" dataDxfId="861" totalsRowDxfId="860">
      <calculatedColumnFormula>COUNTA(Februari[[#This Row],[1]:[29]])</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3.xml><?xml version="1.0" encoding="utf-8"?>
<table xmlns="http://schemas.openxmlformats.org/spreadsheetml/2006/main" id="14" name="Maart" displayName="Maart" ref="B6:AH12" totalsRowCount="1" headerRowDxfId="842" dataDxfId="841" totalsRowDxfId="840">
  <tableColumns count="33">
    <tableColumn id="1" name="Naam van werknemer" totalsRowFunction="custom" dataDxfId="839" totalsRowDxfId="838" dataCellStyle="Werknemer">
      <totalsRowFormula>MonthName&amp;" totaal"</totalsRowFormula>
    </tableColumn>
    <tableColumn id="2" name="1" totalsRowFunction="count" dataDxfId="837" totalsRowDxfId="836"/>
    <tableColumn id="3" name="2" totalsRowFunction="count" dataDxfId="835" totalsRowDxfId="834"/>
    <tableColumn id="4" name="3" totalsRowFunction="count" dataDxfId="833" totalsRowDxfId="832"/>
    <tableColumn id="5" name="4" totalsRowFunction="count" dataDxfId="831" totalsRowDxfId="830"/>
    <tableColumn id="6" name="5" totalsRowFunction="count" dataDxfId="829" totalsRowDxfId="828"/>
    <tableColumn id="7" name="6" totalsRowFunction="count" dataDxfId="827" totalsRowDxfId="826"/>
    <tableColumn id="8" name="7" totalsRowFunction="count" dataDxfId="825" totalsRowDxfId="824"/>
    <tableColumn id="9" name="8" totalsRowFunction="count" dataDxfId="823" totalsRowDxfId="822"/>
    <tableColumn id="10" name="9" totalsRowFunction="count" dataDxfId="821" totalsRowDxfId="820"/>
    <tableColumn id="11" name="10" totalsRowFunction="count" dataDxfId="819" totalsRowDxfId="818"/>
    <tableColumn id="12" name="11" totalsRowFunction="count" dataDxfId="817" totalsRowDxfId="816"/>
    <tableColumn id="13" name="12" totalsRowFunction="count" dataDxfId="815" totalsRowDxfId="814"/>
    <tableColumn id="14" name="13" totalsRowFunction="count" dataDxfId="813" totalsRowDxfId="812"/>
    <tableColumn id="15" name="14" totalsRowFunction="count" dataDxfId="811" totalsRowDxfId="810"/>
    <tableColumn id="16" name="15" totalsRowFunction="count" dataDxfId="809" totalsRowDxfId="808"/>
    <tableColumn id="17" name="16" totalsRowFunction="count" dataDxfId="807" totalsRowDxfId="806"/>
    <tableColumn id="18" name="17" totalsRowFunction="count" dataDxfId="805" totalsRowDxfId="804"/>
    <tableColumn id="19" name="18" totalsRowFunction="count" dataDxfId="803" totalsRowDxfId="802"/>
    <tableColumn id="20" name="19" totalsRowFunction="count" dataDxfId="801" totalsRowDxfId="800"/>
    <tableColumn id="21" name="20" totalsRowFunction="count" dataDxfId="799" totalsRowDxfId="798"/>
    <tableColumn id="22" name="21" totalsRowFunction="count" dataDxfId="797" totalsRowDxfId="796"/>
    <tableColumn id="23" name="22" totalsRowFunction="count" dataDxfId="795" totalsRowDxfId="794"/>
    <tableColumn id="24" name="23" totalsRowFunction="count" dataDxfId="793" totalsRowDxfId="792"/>
    <tableColumn id="25" name="24" totalsRowFunction="count" dataDxfId="791" totalsRowDxfId="790"/>
    <tableColumn id="26" name="25" totalsRowFunction="count" dataDxfId="789" totalsRowDxfId="788"/>
    <tableColumn id="27" name="26" totalsRowFunction="count" dataDxfId="787" totalsRowDxfId="786"/>
    <tableColumn id="28" name="27" totalsRowFunction="count" dataDxfId="785" totalsRowDxfId="784"/>
    <tableColumn id="29" name="28" totalsRowFunction="count" dataDxfId="783" totalsRowDxfId="782"/>
    <tableColumn id="30" name="29" totalsRowFunction="count" dataDxfId="781" totalsRowDxfId="780"/>
    <tableColumn id="31" name="30" totalsRowFunction="sum" dataDxfId="779" totalsRowDxfId="778"/>
    <tableColumn id="32" name="31" totalsRowFunction="sum" dataDxfId="777" totalsRowDxfId="776"/>
    <tableColumn id="33" name="Totaal aantal dagen" totalsRowFunction="sum" dataDxfId="775" totalsRowDxfId="774">
      <calculatedColumnFormula>COUNTA(Maart[[#This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4.xml><?xml version="1.0" encoding="utf-8"?>
<table xmlns="http://schemas.openxmlformats.org/spreadsheetml/2006/main" id="15" name="April" displayName="April" ref="B6:AH12" totalsRowCount="1" headerRowDxfId="756" dataDxfId="755" totalsRowDxfId="754">
  <tableColumns count="33">
    <tableColumn id="1" name="Naam van werknemer" totalsRowFunction="custom" dataDxfId="753" totalsRowDxfId="752" dataCellStyle="Werknemer">
      <totalsRowFormula>MonthName&amp;" totaal"</totalsRowFormula>
    </tableColumn>
    <tableColumn id="2" name="1" totalsRowFunction="count" dataDxfId="751" totalsRowDxfId="750"/>
    <tableColumn id="3" name="2" totalsRowFunction="count" dataDxfId="749" totalsRowDxfId="748"/>
    <tableColumn id="4" name="3" totalsRowFunction="count" dataDxfId="747" totalsRowDxfId="746"/>
    <tableColumn id="5" name="4" totalsRowFunction="count" dataDxfId="745" totalsRowDxfId="744"/>
    <tableColumn id="6" name="5" totalsRowFunction="count" dataDxfId="743" totalsRowDxfId="742"/>
    <tableColumn id="7" name="6" totalsRowFunction="count" dataDxfId="741" totalsRowDxfId="740"/>
    <tableColumn id="8" name="7" totalsRowFunction="count" dataDxfId="739" totalsRowDxfId="738"/>
    <tableColumn id="9" name="8" totalsRowFunction="count" dataDxfId="737" totalsRowDxfId="736"/>
    <tableColumn id="10" name="9" totalsRowFunction="count" dataDxfId="735" totalsRowDxfId="734"/>
    <tableColumn id="11" name="10" totalsRowFunction="count" dataDxfId="733" totalsRowDxfId="732"/>
    <tableColumn id="12" name="11" totalsRowFunction="count" dataDxfId="731" totalsRowDxfId="730"/>
    <tableColumn id="13" name="12" totalsRowFunction="count" dataDxfId="729" totalsRowDxfId="728"/>
    <tableColumn id="14" name="13" totalsRowFunction="count" dataDxfId="727" totalsRowDxfId="726"/>
    <tableColumn id="15" name="14" totalsRowFunction="count" dataDxfId="725" totalsRowDxfId="724"/>
    <tableColumn id="16" name="15" totalsRowFunction="count" dataDxfId="723" totalsRowDxfId="722"/>
    <tableColumn id="17" name="16" totalsRowFunction="count" dataDxfId="721" totalsRowDxfId="720"/>
    <tableColumn id="18" name="17" totalsRowFunction="count" dataDxfId="719" totalsRowDxfId="718"/>
    <tableColumn id="19" name="18" totalsRowFunction="count" dataDxfId="717" totalsRowDxfId="716"/>
    <tableColumn id="20" name="19" totalsRowFunction="count" dataDxfId="715" totalsRowDxfId="714"/>
    <tableColumn id="21" name="20" totalsRowFunction="count" dataDxfId="713" totalsRowDxfId="712"/>
    <tableColumn id="22" name="21" totalsRowFunction="count" dataDxfId="711" totalsRowDxfId="710"/>
    <tableColumn id="23" name="22" totalsRowFunction="count" dataDxfId="709" totalsRowDxfId="708"/>
    <tableColumn id="24" name="23" totalsRowFunction="count" dataDxfId="707" totalsRowDxfId="706"/>
    <tableColumn id="25" name="24" totalsRowFunction="count" dataDxfId="705" totalsRowDxfId="704"/>
    <tableColumn id="26" name="25" totalsRowFunction="count" dataDxfId="703" totalsRowDxfId="702"/>
    <tableColumn id="27" name="26" totalsRowFunction="count" dataDxfId="701" totalsRowDxfId="700"/>
    <tableColumn id="28" name="27" totalsRowFunction="count" dataDxfId="699" totalsRowDxfId="698"/>
    <tableColumn id="29" name="28" totalsRowFunction="count" dataDxfId="697" totalsRowDxfId="696"/>
    <tableColumn id="30" name="29" totalsRowFunction="count" dataDxfId="695" totalsRowDxfId="694"/>
    <tableColumn id="31" name="30" totalsRowFunction="sum" dataDxfId="693" totalsRowDxfId="692"/>
    <tableColumn id="32" name="31" totalsRowFunction="sum" dataDxfId="691" totalsRowDxfId="690"/>
    <tableColumn id="33" name="Totaal aantal dagen" totalsRowFunction="sum" dataDxfId="689" totalsRowDxfId="688">
      <calculatedColumnFormula>COUNTA(April[[#This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5.xml><?xml version="1.0" encoding="utf-8"?>
<table xmlns="http://schemas.openxmlformats.org/spreadsheetml/2006/main" id="16" name="Mei" displayName="Mei" ref="B6:AH12" totalsRowCount="1" headerRowDxfId="670" dataDxfId="669" totalsRowDxfId="668">
  <tableColumns count="33">
    <tableColumn id="1" name="Naam van werknemer" totalsRowFunction="custom" dataDxfId="667" totalsRowDxfId="666" dataCellStyle="Werknemer">
      <totalsRowFormula>MonthName&amp;" totaal"</totalsRowFormula>
    </tableColumn>
    <tableColumn id="2" name="1" totalsRowFunction="count" dataDxfId="665" totalsRowDxfId="664"/>
    <tableColumn id="3" name="2" totalsRowFunction="count" dataDxfId="663" totalsRowDxfId="662"/>
    <tableColumn id="4" name="3" totalsRowFunction="count" dataDxfId="661" totalsRowDxfId="660"/>
    <tableColumn id="5" name="4" totalsRowFunction="count" dataDxfId="659" totalsRowDxfId="658"/>
    <tableColumn id="6" name="5" totalsRowFunction="count" dataDxfId="657" totalsRowDxfId="656"/>
    <tableColumn id="7" name="6" totalsRowFunction="count" dataDxfId="655" totalsRowDxfId="654"/>
    <tableColumn id="8" name="7" totalsRowFunction="count" dataDxfId="653" totalsRowDxfId="652"/>
    <tableColumn id="9" name="8" totalsRowFunction="count" dataDxfId="651" totalsRowDxfId="650"/>
    <tableColumn id="10" name="9" totalsRowFunction="count" dataDxfId="649" totalsRowDxfId="648"/>
    <tableColumn id="11" name="10" totalsRowFunction="count" dataDxfId="647" totalsRowDxfId="646"/>
    <tableColumn id="12" name="11" totalsRowFunction="count" dataDxfId="645" totalsRowDxfId="644"/>
    <tableColumn id="13" name="12" totalsRowFunction="count" dataDxfId="643" totalsRowDxfId="642"/>
    <tableColumn id="14" name="13" totalsRowFunction="count" dataDxfId="641" totalsRowDxfId="640"/>
    <tableColumn id="15" name="14" totalsRowFunction="count" dataDxfId="639" totalsRowDxfId="638"/>
    <tableColumn id="16" name="15" totalsRowFunction="count" dataDxfId="637" totalsRowDxfId="636"/>
    <tableColumn id="17" name="16" totalsRowFunction="count" dataDxfId="635" totalsRowDxfId="634"/>
    <tableColumn id="18" name="17" totalsRowFunction="count" dataDxfId="633" totalsRowDxfId="632"/>
    <tableColumn id="19" name="18" totalsRowFunction="count" dataDxfId="631" totalsRowDxfId="630"/>
    <tableColumn id="20" name="19" totalsRowFunction="count" dataDxfId="629" totalsRowDxfId="628"/>
    <tableColumn id="21" name="20" totalsRowFunction="count" dataDxfId="627" totalsRowDxfId="626"/>
    <tableColumn id="22" name="21" totalsRowFunction="count" dataDxfId="625" totalsRowDxfId="624"/>
    <tableColumn id="23" name="22" totalsRowFunction="count" dataDxfId="623" totalsRowDxfId="622"/>
    <tableColumn id="24" name="23" totalsRowFunction="count" dataDxfId="621" totalsRowDxfId="620"/>
    <tableColumn id="25" name="24" totalsRowFunction="count" dataDxfId="619" totalsRowDxfId="618"/>
    <tableColumn id="26" name="25" totalsRowFunction="count" dataDxfId="617" totalsRowDxfId="616"/>
    <tableColumn id="27" name="26" totalsRowFunction="count" dataDxfId="615" totalsRowDxfId="614"/>
    <tableColumn id="28" name="27" totalsRowFunction="count" dataDxfId="613" totalsRowDxfId="612"/>
    <tableColumn id="29" name="28" totalsRowFunction="count" dataDxfId="611" totalsRowDxfId="610"/>
    <tableColumn id="30" name="29" totalsRowFunction="count" dataDxfId="609" totalsRowDxfId="608"/>
    <tableColumn id="31" name="30" totalsRowFunction="sum" dataDxfId="607" totalsRowDxfId="606"/>
    <tableColumn id="32" name="31" totalsRowFunction="sum" dataDxfId="605" totalsRowDxfId="604"/>
    <tableColumn id="33" name="Totaal aantal dagen" totalsRowFunction="sum" dataDxfId="603" totalsRowDxfId="602">
      <calculatedColumnFormula>COUNTA(Mei[[#This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6.xml><?xml version="1.0" encoding="utf-8"?>
<table xmlns="http://schemas.openxmlformats.org/spreadsheetml/2006/main" id="17" name="Juni" displayName="Juni" ref="B6:AH12" totalsRowCount="1" headerRowDxfId="584" dataDxfId="583" totalsRowDxfId="582">
  <tableColumns count="33">
    <tableColumn id="1" name="Naam van werknemer" totalsRowFunction="custom" dataDxfId="581" totalsRowDxfId="580" dataCellStyle="Werknemer">
      <totalsRowFormula>MonthName&amp;" totaal"</totalsRowFormula>
    </tableColumn>
    <tableColumn id="2" name="1" totalsRowFunction="count" dataDxfId="579" totalsRowDxfId="578"/>
    <tableColumn id="3" name="2" totalsRowFunction="count" dataDxfId="577" totalsRowDxfId="576"/>
    <tableColumn id="4" name="3" totalsRowFunction="count" dataDxfId="575" totalsRowDxfId="574"/>
    <tableColumn id="5" name="4" totalsRowFunction="count" dataDxfId="573" totalsRowDxfId="572"/>
    <tableColumn id="6" name="5" totalsRowFunction="count" dataDxfId="571" totalsRowDxfId="570"/>
    <tableColumn id="7" name="6" totalsRowFunction="count" dataDxfId="569" totalsRowDxfId="568"/>
    <tableColumn id="8" name="7" totalsRowFunction="count" dataDxfId="567" totalsRowDxfId="566"/>
    <tableColumn id="9" name="8" totalsRowFunction="count" dataDxfId="565" totalsRowDxfId="564"/>
    <tableColumn id="10" name="9" totalsRowFunction="count" dataDxfId="563" totalsRowDxfId="562"/>
    <tableColumn id="11" name="10" totalsRowFunction="count" dataDxfId="561" totalsRowDxfId="560"/>
    <tableColumn id="12" name="11" totalsRowFunction="count" dataDxfId="559" totalsRowDxfId="558"/>
    <tableColumn id="13" name="12" totalsRowFunction="count" dataDxfId="557" totalsRowDxfId="556"/>
    <tableColumn id="14" name="13" totalsRowFunction="count" dataDxfId="555" totalsRowDxfId="554"/>
    <tableColumn id="15" name="14" totalsRowFunction="count" dataDxfId="553" totalsRowDxfId="552"/>
    <tableColumn id="16" name="15" totalsRowFunction="count" dataDxfId="551" totalsRowDxfId="550"/>
    <tableColumn id="17" name="16" totalsRowFunction="count" dataDxfId="549" totalsRowDxfId="548"/>
    <tableColumn id="18" name="17" totalsRowFunction="count" dataDxfId="547" totalsRowDxfId="546"/>
    <tableColumn id="19" name="18" totalsRowFunction="count" dataDxfId="545" totalsRowDxfId="544"/>
    <tableColumn id="20" name="19" totalsRowFunction="count" dataDxfId="543" totalsRowDxfId="542"/>
    <tableColumn id="21" name="20" totalsRowFunction="count" dataDxfId="541" totalsRowDxfId="540"/>
    <tableColumn id="22" name="21" totalsRowFunction="count" dataDxfId="539" totalsRowDxfId="538"/>
    <tableColumn id="23" name="22" totalsRowFunction="count" dataDxfId="537" totalsRowDxfId="536"/>
    <tableColumn id="24" name="23" totalsRowFunction="count" dataDxfId="535" totalsRowDxfId="534"/>
    <tableColumn id="25" name="24" totalsRowFunction="count" dataDxfId="533" totalsRowDxfId="532"/>
    <tableColumn id="26" name="25" totalsRowFunction="count" dataDxfId="531" totalsRowDxfId="530"/>
    <tableColumn id="27" name="26" totalsRowFunction="count" dataDxfId="529" totalsRowDxfId="528"/>
    <tableColumn id="28" name="27" totalsRowFunction="count" dataDxfId="527" totalsRowDxfId="526"/>
    <tableColumn id="29" name="28" totalsRowFunction="count" dataDxfId="525" totalsRowDxfId="524"/>
    <tableColumn id="30" name="29" totalsRowFunction="count" dataDxfId="523" totalsRowDxfId="522"/>
    <tableColumn id="31" name="30" totalsRowFunction="sum" dataDxfId="521" totalsRowDxfId="520"/>
    <tableColumn id="32" name="31" totalsRowFunction="sum" dataDxfId="519" totalsRowDxfId="518"/>
    <tableColumn id="33" name="Totaal aantal dagen" totalsRowFunction="sum" dataDxfId="517" totalsRowDxfId="516">
      <calculatedColumnFormula>COUNTA(Juni[[#This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7.xml><?xml version="1.0" encoding="utf-8"?>
<table xmlns="http://schemas.openxmlformats.org/spreadsheetml/2006/main" id="18" name="Juli" displayName="Juli" ref="B6:AH12" totalsRowCount="1" headerRowDxfId="498" dataDxfId="497" totalsRowDxfId="496">
  <tableColumns count="33">
    <tableColumn id="1" name="Naam van werknemer" totalsRowFunction="custom" dataDxfId="495" totalsRowDxfId="494" dataCellStyle="Werknemer">
      <totalsRowFormula>MonthName&amp;" totaal"</totalsRowFormula>
    </tableColumn>
    <tableColumn id="2" name="1" totalsRowFunction="count" dataDxfId="493" totalsRowDxfId="492"/>
    <tableColumn id="3" name="2" totalsRowFunction="count" dataDxfId="491" totalsRowDxfId="490"/>
    <tableColumn id="4" name="3" totalsRowFunction="count" dataDxfId="489" totalsRowDxfId="488"/>
    <tableColumn id="5" name="4" totalsRowFunction="count" dataDxfId="487" totalsRowDxfId="486"/>
    <tableColumn id="6" name="5" totalsRowFunction="count" dataDxfId="485" totalsRowDxfId="484"/>
    <tableColumn id="7" name="6" totalsRowFunction="count" dataDxfId="483" totalsRowDxfId="482"/>
    <tableColumn id="8" name="7" totalsRowFunction="count" dataDxfId="481" totalsRowDxfId="480"/>
    <tableColumn id="9" name="8" totalsRowFunction="count" dataDxfId="479" totalsRowDxfId="478"/>
    <tableColumn id="10" name="9" totalsRowFunction="count" dataDxfId="477" totalsRowDxfId="476"/>
    <tableColumn id="11" name="10" totalsRowFunction="count" dataDxfId="475" totalsRowDxfId="474"/>
    <tableColumn id="12" name="11" totalsRowFunction="count" dataDxfId="473" totalsRowDxfId="472"/>
    <tableColumn id="13" name="12" totalsRowFunction="count" dataDxfId="471" totalsRowDxfId="470"/>
    <tableColumn id="14" name="13" totalsRowFunction="count" dataDxfId="469" totalsRowDxfId="468"/>
    <tableColumn id="15" name="14" totalsRowFunction="count" dataDxfId="467" totalsRowDxfId="466"/>
    <tableColumn id="16" name="15" totalsRowFunction="count" dataDxfId="465" totalsRowDxfId="464"/>
    <tableColumn id="17" name="16" totalsRowFunction="count" dataDxfId="463" totalsRowDxfId="462"/>
    <tableColumn id="18" name="17" totalsRowFunction="count" dataDxfId="461" totalsRowDxfId="460"/>
    <tableColumn id="19" name="18" totalsRowFunction="count" dataDxfId="459" totalsRowDxfId="458"/>
    <tableColumn id="20" name="19" totalsRowFunction="count" dataDxfId="457" totalsRowDxfId="456"/>
    <tableColumn id="21" name="20" totalsRowFunction="count" dataDxfId="455" totalsRowDxfId="454"/>
    <tableColumn id="22" name="21" totalsRowFunction="count" dataDxfId="453" totalsRowDxfId="452"/>
    <tableColumn id="23" name="22" totalsRowFunction="count" dataDxfId="451" totalsRowDxfId="450"/>
    <tableColumn id="24" name="23" totalsRowFunction="count" dataDxfId="449" totalsRowDxfId="448"/>
    <tableColumn id="25" name="24" totalsRowFunction="count" dataDxfId="447" totalsRowDxfId="446"/>
    <tableColumn id="26" name="25" totalsRowFunction="count" dataDxfId="445" totalsRowDxfId="444"/>
    <tableColumn id="27" name="26" totalsRowFunction="count" dataDxfId="443" totalsRowDxfId="442"/>
    <tableColumn id="28" name="27" totalsRowFunction="count" dataDxfId="441" totalsRowDxfId="440"/>
    <tableColumn id="29" name="28" totalsRowFunction="count" dataDxfId="439" totalsRowDxfId="438"/>
    <tableColumn id="30" name="29" totalsRowFunction="count" dataDxfId="437" totalsRowDxfId="436"/>
    <tableColumn id="31" name="30" totalsRowFunction="sum" dataDxfId="435" totalsRowDxfId="434"/>
    <tableColumn id="32" name="31" totalsRowFunction="sum" dataDxfId="433" totalsRowDxfId="432"/>
    <tableColumn id="33" name="Totaal aantal dagen" totalsRowFunction="sum" dataDxfId="431" totalsRowDxfId="430">
      <calculatedColumnFormula>COUNTA(Juli[[#This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8.xml><?xml version="1.0" encoding="utf-8"?>
<table xmlns="http://schemas.openxmlformats.org/spreadsheetml/2006/main" id="19" name="Augustus" displayName="Augustus" ref="B6:AH12" totalsRowCount="1" headerRowDxfId="412" dataDxfId="411" totalsRowDxfId="410">
  <tableColumns count="33">
    <tableColumn id="1" name="Naam van werknemer" totalsRowFunction="custom" dataDxfId="409" totalsRowDxfId="408" dataCellStyle="Werknemer">
      <totalsRowFormula>MonthName&amp;" totaal"</totalsRowFormula>
    </tableColumn>
    <tableColumn id="2" name="1" totalsRowFunction="count" dataDxfId="407" totalsRowDxfId="406"/>
    <tableColumn id="3" name="2" totalsRowFunction="count" dataDxfId="405" totalsRowDxfId="404"/>
    <tableColumn id="4" name="3" totalsRowFunction="count" dataDxfId="403" totalsRowDxfId="402"/>
    <tableColumn id="5" name="4" totalsRowFunction="count" dataDxfId="401" totalsRowDxfId="400"/>
    <tableColumn id="6" name="5" totalsRowFunction="count" dataDxfId="399" totalsRowDxfId="398"/>
    <tableColumn id="7" name="6" totalsRowFunction="count" dataDxfId="397" totalsRowDxfId="396"/>
    <tableColumn id="8" name="7" totalsRowFunction="count" dataDxfId="395" totalsRowDxfId="394"/>
    <tableColumn id="9" name="8" totalsRowFunction="count" dataDxfId="393" totalsRowDxfId="392"/>
    <tableColumn id="10" name="9" totalsRowFunction="count" dataDxfId="391" totalsRowDxfId="390"/>
    <tableColumn id="11" name="10" totalsRowFunction="count" dataDxfId="389" totalsRowDxfId="388"/>
    <tableColumn id="12" name="11" totalsRowFunction="count" dataDxfId="387" totalsRowDxfId="386"/>
    <tableColumn id="13" name="12" totalsRowFunction="count" dataDxfId="385" totalsRowDxfId="384"/>
    <tableColumn id="14" name="13" totalsRowFunction="count" dataDxfId="383" totalsRowDxfId="382"/>
    <tableColumn id="15" name="14" totalsRowFunction="count" dataDxfId="381" totalsRowDxfId="380"/>
    <tableColumn id="16" name="15" totalsRowFunction="count" dataDxfId="379" totalsRowDxfId="378"/>
    <tableColumn id="17" name="16" totalsRowFunction="count" dataDxfId="377" totalsRowDxfId="376"/>
    <tableColumn id="18" name="17" totalsRowFunction="count" dataDxfId="375" totalsRowDxfId="374"/>
    <tableColumn id="19" name="18" totalsRowFunction="count" dataDxfId="373" totalsRowDxfId="372"/>
    <tableColumn id="20" name="19" totalsRowFunction="count" dataDxfId="371" totalsRowDxfId="370"/>
    <tableColumn id="21" name="20" totalsRowFunction="count" dataDxfId="369" totalsRowDxfId="368"/>
    <tableColumn id="22" name="21" totalsRowFunction="count" dataDxfId="367" totalsRowDxfId="366"/>
    <tableColumn id="23" name="22" totalsRowFunction="count" dataDxfId="365" totalsRowDxfId="364"/>
    <tableColumn id="24" name="23" totalsRowFunction="count" dataDxfId="363" totalsRowDxfId="362"/>
    <tableColumn id="25" name="24" totalsRowFunction="count" dataDxfId="361" totalsRowDxfId="360"/>
    <tableColumn id="26" name="25" totalsRowFunction="count" dataDxfId="359" totalsRowDxfId="358"/>
    <tableColumn id="27" name="26" totalsRowFunction="count" dataDxfId="357" totalsRowDxfId="356"/>
    <tableColumn id="28" name="27" totalsRowFunction="count" dataDxfId="355" totalsRowDxfId="354"/>
    <tableColumn id="29" name="28" totalsRowFunction="count" dataDxfId="353" totalsRowDxfId="352"/>
    <tableColumn id="30" name="29" totalsRowFunction="count" dataDxfId="351" totalsRowDxfId="350"/>
    <tableColumn id="31" name="30" totalsRowFunction="sum" dataDxfId="349" totalsRowDxfId="348"/>
    <tableColumn id="32" name="31" totalsRowFunction="sum" dataDxfId="347" totalsRowDxfId="346"/>
    <tableColumn id="33" name="Totaal aantal dagen" totalsRowFunction="sum" dataDxfId="345" totalsRowDxfId="344">
      <calculatedColumnFormula>COUNTA(Augustus[[#This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9.xml><?xml version="1.0" encoding="utf-8"?>
<table xmlns="http://schemas.openxmlformats.org/spreadsheetml/2006/main" id="20" name="September" displayName="September" ref="B6:AH12" totalsRowCount="1" headerRowDxfId="326" dataDxfId="325" totalsRowDxfId="324">
  <tableColumns count="33">
    <tableColumn id="1" name="Naam van werknemer" totalsRowFunction="custom" dataDxfId="323" totalsRowDxfId="322" dataCellStyle="Werknemer">
      <totalsRowFormula>MonthName&amp;" totaal"</totalsRowFormula>
    </tableColumn>
    <tableColumn id="2" name="1" totalsRowFunction="count" dataDxfId="321" totalsRowDxfId="320"/>
    <tableColumn id="3" name="2" totalsRowFunction="count" dataDxfId="319" totalsRowDxfId="318"/>
    <tableColumn id="4" name="3" totalsRowFunction="count" dataDxfId="317" totalsRowDxfId="316"/>
    <tableColumn id="5" name="4" totalsRowFunction="count" dataDxfId="315" totalsRowDxfId="314"/>
    <tableColumn id="6" name="5" totalsRowFunction="count" dataDxfId="313" totalsRowDxfId="312"/>
    <tableColumn id="7" name="6" totalsRowFunction="count" dataDxfId="311" totalsRowDxfId="310"/>
    <tableColumn id="8" name="7" totalsRowFunction="count" dataDxfId="309" totalsRowDxfId="308"/>
    <tableColumn id="9" name="8" totalsRowFunction="count" dataDxfId="307" totalsRowDxfId="306"/>
    <tableColumn id="10" name="9" totalsRowFunction="count" dataDxfId="305" totalsRowDxfId="304"/>
    <tableColumn id="11" name="10" totalsRowFunction="count" dataDxfId="303" totalsRowDxfId="302"/>
    <tableColumn id="12" name="11" totalsRowFunction="count" dataDxfId="301" totalsRowDxfId="300"/>
    <tableColumn id="13" name="12" totalsRowFunction="count" dataDxfId="299" totalsRowDxfId="298"/>
    <tableColumn id="14" name="13" totalsRowFunction="count" dataDxfId="297" totalsRowDxfId="296"/>
    <tableColumn id="15" name="14" totalsRowFunction="count" dataDxfId="295" totalsRowDxfId="294"/>
    <tableColumn id="16" name="15" totalsRowFunction="count" dataDxfId="293" totalsRowDxfId="292"/>
    <tableColumn id="17" name="16" totalsRowFunction="count" dataDxfId="291" totalsRowDxfId="290"/>
    <tableColumn id="18" name="17" totalsRowFunction="count" dataDxfId="289" totalsRowDxfId="288"/>
    <tableColumn id="19" name="18" totalsRowFunction="count" dataDxfId="287" totalsRowDxfId="286"/>
    <tableColumn id="20" name="19" totalsRowFunction="count" dataDxfId="285" totalsRowDxfId="284"/>
    <tableColumn id="21" name="20" totalsRowFunction="count" dataDxfId="283" totalsRowDxfId="282"/>
    <tableColumn id="22" name="21" totalsRowFunction="count" dataDxfId="281" totalsRowDxfId="280"/>
    <tableColumn id="23" name="22" totalsRowFunction="count" dataDxfId="279" totalsRowDxfId="278"/>
    <tableColumn id="24" name="23" totalsRowFunction="count" dataDxfId="277" totalsRowDxfId="276"/>
    <tableColumn id="25" name="24" totalsRowFunction="count" dataDxfId="275" totalsRowDxfId="274"/>
    <tableColumn id="26" name="25" totalsRowFunction="count" dataDxfId="273" totalsRowDxfId="272"/>
    <tableColumn id="27" name="26" totalsRowFunction="count" dataDxfId="271" totalsRowDxfId="270"/>
    <tableColumn id="28" name="27" totalsRowFunction="count" dataDxfId="269" totalsRowDxfId="268"/>
    <tableColumn id="29" name="28" totalsRowFunction="count" dataDxfId="267" totalsRowDxfId="266"/>
    <tableColumn id="30" name="29" totalsRowFunction="count" dataDxfId="265" totalsRowDxfId="264"/>
    <tableColumn id="31" name="30" totalsRowFunction="sum" dataDxfId="263" totalsRowDxfId="262"/>
    <tableColumn id="32" name="31" totalsRowFunction="sum" dataDxfId="261" totalsRowDxfId="260"/>
    <tableColumn id="33" name="Totaal aantal dagen" totalsRowFunction="sum" dataDxfId="259" totalsRowDxfId="258">
      <calculatedColumnFormula>COUNTA(September[[#This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2" tint="-0.89999084444715716"/>
    <pageSetUpPr fitToPage="1"/>
  </sheetPr>
  <dimension ref="A1:AI17"/>
  <sheetViews>
    <sheetView showGridLines="0" tabSelected="1" zoomScale="90" zoomScaleNormal="90" workbookViewId="0">
      <selection activeCell="R17" sqref="R17"/>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0.7109375" customWidth="1"/>
  </cols>
  <sheetData>
    <row r="1" spans="1:35" ht="50.1" customHeight="1" x14ac:dyDescent="0.25">
      <c r="A1" s="12"/>
      <c r="B1" s="9" t="s">
        <v>0</v>
      </c>
    </row>
    <row r="2" spans="1:35"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c r="X2" s="21"/>
      <c r="Y2" s="22"/>
      <c r="Z2" s="22"/>
      <c r="AA2" s="22"/>
      <c r="AB2" s="26"/>
      <c r="AC2" s="50"/>
      <c r="AD2" s="50"/>
      <c r="AE2" s="50"/>
    </row>
    <row r="3" spans="1:35" ht="15" customHeight="1" x14ac:dyDescent="0.25">
      <c r="AH3" s="13" t="s">
        <v>38</v>
      </c>
    </row>
    <row r="4" spans="1:35" ht="30" customHeight="1" thickBot="1" x14ac:dyDescent="0.3">
      <c r="B4" s="31" t="s">
        <v>1</v>
      </c>
      <c r="C4" s="49" t="s">
        <v>4</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31">
        <v>2017</v>
      </c>
      <c r="AI4" s="32"/>
    </row>
    <row r="5" spans="1:35" ht="25.5" customHeight="1" x14ac:dyDescent="0.25">
      <c r="B5" s="30"/>
      <c r="C5" s="48">
        <f>DATE(CalendarYear,1,1)</f>
        <v>42736</v>
      </c>
      <c r="D5" s="47">
        <f>C5+1</f>
        <v>42737</v>
      </c>
      <c r="E5" s="47">
        <f t="shared" ref="E5:AG5" si="0">D5+1</f>
        <v>42738</v>
      </c>
      <c r="F5" s="47">
        <f t="shared" si="0"/>
        <v>42739</v>
      </c>
      <c r="G5" s="47">
        <f t="shared" si="0"/>
        <v>42740</v>
      </c>
      <c r="H5" s="47">
        <f t="shared" si="0"/>
        <v>42741</v>
      </c>
      <c r="I5" s="48">
        <f t="shared" si="0"/>
        <v>42742</v>
      </c>
      <c r="J5" s="48">
        <f t="shared" si="0"/>
        <v>42743</v>
      </c>
      <c r="K5" s="47">
        <f t="shared" si="0"/>
        <v>42744</v>
      </c>
      <c r="L5" s="47">
        <f t="shared" si="0"/>
        <v>42745</v>
      </c>
      <c r="M5" s="47">
        <f t="shared" si="0"/>
        <v>42746</v>
      </c>
      <c r="N5" s="47">
        <f t="shared" si="0"/>
        <v>42747</v>
      </c>
      <c r="O5" s="47">
        <f t="shared" si="0"/>
        <v>42748</v>
      </c>
      <c r="P5" s="48">
        <f t="shared" si="0"/>
        <v>42749</v>
      </c>
      <c r="Q5" s="48">
        <f t="shared" si="0"/>
        <v>42750</v>
      </c>
      <c r="R5" s="47">
        <f t="shared" si="0"/>
        <v>42751</v>
      </c>
      <c r="S5" s="47">
        <f t="shared" si="0"/>
        <v>42752</v>
      </c>
      <c r="T5" s="47">
        <f t="shared" si="0"/>
        <v>42753</v>
      </c>
      <c r="U5" s="47">
        <f t="shared" si="0"/>
        <v>42754</v>
      </c>
      <c r="V5" s="47">
        <f t="shared" si="0"/>
        <v>42755</v>
      </c>
      <c r="W5" s="48">
        <f t="shared" si="0"/>
        <v>42756</v>
      </c>
      <c r="X5" s="48">
        <f t="shared" si="0"/>
        <v>42757</v>
      </c>
      <c r="Y5" s="47">
        <f t="shared" si="0"/>
        <v>42758</v>
      </c>
      <c r="Z5" s="47">
        <f t="shared" si="0"/>
        <v>42759</v>
      </c>
      <c r="AA5" s="47">
        <f t="shared" si="0"/>
        <v>42760</v>
      </c>
      <c r="AB5" s="47">
        <f t="shared" si="0"/>
        <v>42761</v>
      </c>
      <c r="AC5" s="47">
        <f t="shared" si="0"/>
        <v>42762</v>
      </c>
      <c r="AD5" s="48">
        <f t="shared" si="0"/>
        <v>42763</v>
      </c>
      <c r="AE5" s="48">
        <f t="shared" si="0"/>
        <v>42764</v>
      </c>
      <c r="AF5" s="47">
        <f t="shared" si="0"/>
        <v>42765</v>
      </c>
      <c r="AG5" s="47">
        <f t="shared" si="0"/>
        <v>42766</v>
      </c>
      <c r="AH5" s="34" t="s">
        <v>66</v>
      </c>
      <c r="AI5" s="36" t="s">
        <v>67</v>
      </c>
    </row>
    <row r="6" spans="1:35" ht="25.5" customHeight="1" thickBot="1" x14ac:dyDescent="0.3">
      <c r="B6" s="41" t="s">
        <v>2</v>
      </c>
      <c r="C6" s="40" t="s">
        <v>5</v>
      </c>
      <c r="D6" s="40" t="s">
        <v>6</v>
      </c>
      <c r="E6" s="40" t="s">
        <v>7</v>
      </c>
      <c r="F6" s="40" t="s">
        <v>8</v>
      </c>
      <c r="G6" s="40" t="s">
        <v>10</v>
      </c>
      <c r="H6" s="40" t="s">
        <v>11</v>
      </c>
      <c r="I6" s="40" t="s">
        <v>12</v>
      </c>
      <c r="J6" s="40" t="s">
        <v>13</v>
      </c>
      <c r="K6" s="40" t="s">
        <v>14</v>
      </c>
      <c r="L6" s="40" t="s">
        <v>16</v>
      </c>
      <c r="M6" s="40" t="s">
        <v>17</v>
      </c>
      <c r="N6" s="40" t="s">
        <v>18</v>
      </c>
      <c r="O6" s="40" t="s">
        <v>19</v>
      </c>
      <c r="P6" s="40" t="s">
        <v>20</v>
      </c>
      <c r="Q6" s="40" t="s">
        <v>21</v>
      </c>
      <c r="R6" s="40" t="s">
        <v>22</v>
      </c>
      <c r="S6" s="40" t="s">
        <v>23</v>
      </c>
      <c r="T6" s="40" t="s">
        <v>24</v>
      </c>
      <c r="U6" s="40" t="s">
        <v>25</v>
      </c>
      <c r="V6" s="40" t="s">
        <v>26</v>
      </c>
      <c r="W6" s="40" t="s">
        <v>27</v>
      </c>
      <c r="X6" s="40" t="s">
        <v>28</v>
      </c>
      <c r="Y6" s="40" t="s">
        <v>29</v>
      </c>
      <c r="Z6" s="40" t="s">
        <v>30</v>
      </c>
      <c r="AA6" s="40" t="s">
        <v>31</v>
      </c>
      <c r="AB6" s="40" t="s">
        <v>32</v>
      </c>
      <c r="AC6" s="40" t="s">
        <v>33</v>
      </c>
      <c r="AD6" s="40" t="s">
        <v>34</v>
      </c>
      <c r="AE6" s="40" t="s">
        <v>35</v>
      </c>
      <c r="AF6" s="40" t="s">
        <v>36</v>
      </c>
      <c r="AG6" s="40" t="s">
        <v>37</v>
      </c>
      <c r="AH6" s="35" t="s">
        <v>69</v>
      </c>
      <c r="AI6" s="37" t="s">
        <v>68</v>
      </c>
    </row>
    <row r="7" spans="1:35" ht="30" customHeight="1" x14ac:dyDescent="0.25">
      <c r="B7" s="33" t="s">
        <v>54</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45">
        <f>COUNTA(Januari!$C7:$AG7)-COUNT(Januari!$C7:$AG7)+(COUNTIF(Januari!$C7:$AG7,"&lt;1")/2)-COUNTIF(Januari!$C7:$AG7,"W")-COUNTIF(Januari!$C7:$AG7,"Z")-COUNTIF(Januari!$C7:$AG7,"R")</f>
        <v>0</v>
      </c>
      <c r="AI7" s="42">
        <f t="shared" ref="AI7:AI11" si="1">COUNTIF(C7:AG7,"*Z*")</f>
        <v>0</v>
      </c>
    </row>
    <row r="8" spans="1:35" ht="30" customHeight="1" x14ac:dyDescent="0.25">
      <c r="B8" s="33" t="s">
        <v>55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44">
        <f>COUNTA(Januari!$C8:$AG8)-COUNT(Januari!$C8:$AG8)+(COUNTIF(Januari!$C8:$AG8,"&lt;1")/2)-COUNTIF(Januari!$C8:$AG8,"W")-COUNTIF(Januari!$C8:$AG8,"Z")-COUNTIF(Januari!$C8:$AG8,"R")</f>
        <v>0</v>
      </c>
      <c r="AI8" s="38">
        <f t="shared" si="1"/>
        <v>0</v>
      </c>
    </row>
    <row r="9" spans="1:35" ht="30" customHeight="1" x14ac:dyDescent="0.25">
      <c r="B9" s="33" t="s">
        <v>56</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44">
        <f>COUNTA(Januari!$C9:$AG9)-COUNT(Januari!$C9:$AG9)+(COUNTIF(Januari!$C9:$AG9,"&lt;1")/2)-COUNTIF(Januari!$C9:$AG9,"W")-COUNTIF(Januari!$C9:$AG9,"Z")-COUNTIF(Januari!$C9:$AG9,"R")</f>
        <v>0</v>
      </c>
      <c r="AI9" s="38">
        <f t="shared" si="1"/>
        <v>0</v>
      </c>
    </row>
    <row r="10" spans="1:35" ht="30" customHeight="1" x14ac:dyDescent="0.25">
      <c r="B10" s="33" t="s">
        <v>57</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4">
        <f>COUNTA(Januari!$C10:$AG10)-COUNT(Januari!$C10:$AG10)+(COUNTIF(Januari!$C10:$AG10,"&lt;1")/2)-COUNTIF(Januari!$C10:$AG10,"W")-COUNTIF(Januari!$C10:$AG10,"Z")-COUNTIF(Januari!$C10:$AG10,"R")</f>
        <v>0</v>
      </c>
      <c r="AI10" s="38">
        <f t="shared" si="1"/>
        <v>0</v>
      </c>
    </row>
    <row r="11" spans="1:35" ht="30" customHeight="1" thickBot="1" x14ac:dyDescent="0.3">
      <c r="B11" s="33" t="s">
        <v>58</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46">
        <f>COUNTA(Januari!$C11:$AG11)-COUNT(Januari!$C11:$AG11)+(COUNTIF(Januari!$C11:$AG11,"&lt;1")/2)-COUNTIF(Januari!$C11:$AG11,"W")-COUNTIF(Januari!$C11:$AG11,"Z")-COUNTIF(Januari!$C11:$AG11,"R")</f>
        <v>0</v>
      </c>
      <c r="AI11" s="43">
        <f t="shared" si="1"/>
        <v>0</v>
      </c>
    </row>
    <row r="17" spans="22:22" ht="30" customHeight="1" x14ac:dyDescent="0.25">
      <c r="V17" s="19"/>
    </row>
  </sheetData>
  <mergeCells count="5">
    <mergeCell ref="C4:AG4"/>
    <mergeCell ref="AC2:AE2"/>
    <mergeCell ref="D2:E2"/>
    <mergeCell ref="G2:J2"/>
    <mergeCell ref="R2:U2"/>
  </mergeCells>
  <conditionalFormatting sqref="C7:AG11">
    <cfRule type="containsText" dxfId="1019" priority="32" operator="containsText" text="V">
      <formula>NOT(ISERROR(SEARCH("V",C7)))</formula>
    </cfRule>
    <cfRule type="containsText" dxfId="1018" priority="33" operator="containsText" text="1/2">
      <formula>NOT(ISERROR(SEARCH("1/2",C7)))</formula>
    </cfRule>
    <cfRule type="containsText" dxfId="1017" priority="34" operator="containsText" text="V">
      <formula>NOT(ISERROR(SEARCH("V",C7)))</formula>
    </cfRule>
    <cfRule type="containsText" dxfId="1016" priority="35" operator="containsText" text="V">
      <formula>NOT(ISERROR(SEARCH("V",C7)))</formula>
    </cfRule>
    <cfRule type="containsText" dxfId="1015" priority="36" operator="containsText" text="V">
      <formula>NOT(ISERROR(SEARCH("V",C7)))</formula>
    </cfRule>
    <cfRule type="colorScale" priority="37">
      <colorScale>
        <cfvo type="min"/>
        <cfvo type="max"/>
        <color rgb="FF63BE7B"/>
        <color rgb="FFFCFCFF"/>
      </colorScale>
    </cfRule>
    <cfRule type="containsText" dxfId="1014" priority="40" operator="containsText" text="Z">
      <formula>NOT(ISERROR(SEARCH("Z",C7)))</formula>
    </cfRule>
    <cfRule type="containsText" dxfId="1013" priority="43" operator="containsText" text="V">
      <formula>NOT(ISERROR(SEARCH("V",C7)))</formula>
    </cfRule>
    <cfRule type="containsText" dxfId="1012" priority="44" operator="containsText" text="V">
      <formula>NOT(ISERROR(SEARCH("V",C7)))</formula>
    </cfRule>
    <cfRule type="containsText" dxfId="1011" priority="45" operator="containsText" text="v">
      <formula>NOT(ISERROR(SEARCH("v",C7)))</formula>
    </cfRule>
    <cfRule type="expression" priority="47" stopIfTrue="1">
      <formula>C7=""</formula>
    </cfRule>
    <cfRule type="expression" dxfId="1010" priority="52" stopIfTrue="1">
      <formula>C7=KeyCustom2</formula>
    </cfRule>
    <cfRule type="expression" dxfId="1009" priority="53" stopIfTrue="1">
      <formula>C7=KeyCustom1</formula>
    </cfRule>
    <cfRule type="expression" dxfId="1008" priority="54" stopIfTrue="1">
      <formula>C7=KeySick</formula>
    </cfRule>
    <cfRule type="expression" dxfId="1007" priority="55" stopIfTrue="1">
      <formula>C7=KeyPersonal</formula>
    </cfRule>
    <cfRule type="expression" dxfId="1006" priority="56" stopIfTrue="1">
      <formula>C7=KeyVacation</formula>
    </cfRule>
  </conditionalFormatting>
  <conditionalFormatting sqref="AH7:AH11">
    <cfRule type="dataBar" priority="214">
      <dataBar>
        <cfvo type="num" val="0"/>
        <cfvo type="num" val="31"/>
        <color theme="2" tint="-0.249977111117893"/>
      </dataBar>
      <extLst>
        <ext xmlns:x14="http://schemas.microsoft.com/office/spreadsheetml/2009/9/main" uri="{B025F937-C7B1-47D3-B67F-A62EFF666E3E}">
          <x14:id>{ECCE2C3C-1B01-4700-B60E-DAAAB19A9C1A}</x14:id>
        </ext>
      </extLst>
    </cfRule>
  </conditionalFormatting>
  <conditionalFormatting sqref="C2">
    <cfRule type="containsText" dxfId="1005" priority="14" operator="containsText" text="V">
      <formula>NOT(ISERROR(SEARCH("V",C2)))</formula>
    </cfRule>
    <cfRule type="containsText" dxfId="1004" priority="15" operator="containsText" text="V">
      <formula>NOT(ISERROR(SEARCH("V",C2)))</formula>
    </cfRule>
    <cfRule type="containsText" dxfId="1003" priority="31" operator="containsText" text="V">
      <formula>NOT(ISERROR(SEARCH("V",C2)))</formula>
    </cfRule>
    <cfRule type="containsText" dxfId="1002" priority="41" operator="containsText" text="V">
      <formula>NOT(ISERROR(SEARCH("V",C2)))</formula>
    </cfRule>
    <cfRule type="containsText" dxfId="1001" priority="42" operator="containsText" text="V">
      <formula>NOT(ISERROR(SEARCH("V",C2)))</formula>
    </cfRule>
    <cfRule type="containsText" dxfId="1000" priority="46" operator="containsText" text="V">
      <formula>NOT(ISERROR(SEARCH("V",C2)))</formula>
    </cfRule>
  </conditionalFormatting>
  <conditionalFormatting sqref="AH8">
    <cfRule type="cellIs" dxfId="999" priority="30" operator="between">
      <formula>0.5</formula>
      <formula>1</formula>
    </cfRule>
  </conditionalFormatting>
  <conditionalFormatting sqref="C7:AG11">
    <cfRule type="cellIs" dxfId="998" priority="26" operator="equal">
      <formula>0.5</formula>
    </cfRule>
    <cfRule type="containsText" dxfId="997" priority="27" operator="containsText" text="1/2">
      <formula>NOT(ISERROR(SEARCH("1/2",C7)))</formula>
    </cfRule>
    <cfRule type="cellIs" dxfId="996" priority="28" operator="equal">
      <formula>" 1/2"</formula>
    </cfRule>
    <cfRule type="cellIs" dxfId="995" priority="29" operator="equal">
      <formula>" 1/2"</formula>
    </cfRule>
  </conditionalFormatting>
  <conditionalFormatting sqref="F2">
    <cfRule type="containsText" dxfId="994" priority="17" operator="containsText" text="e">
      <formula>NOT(ISERROR(SEARCH("e",F2)))</formula>
    </cfRule>
    <cfRule type="cellIs" dxfId="993" priority="18" operator="equal">
      <formula>42767</formula>
    </cfRule>
    <cfRule type="containsText" dxfId="992" priority="19" operator="containsText" text="1/2">
      <formula>NOT(ISERROR(SEARCH("1/2",F2)))</formula>
    </cfRule>
    <cfRule type="containsText" dxfId="991" priority="20" operator="containsText" text="R">
      <formula>NOT(ISERROR(SEARCH("R",F2)))</formula>
    </cfRule>
  </conditionalFormatting>
  <conditionalFormatting sqref="K2">
    <cfRule type="containsText" dxfId="990" priority="13" operator="containsText" text="Z">
      <formula>NOT(ISERROR(SEARCH("Z",K2)))</formula>
    </cfRule>
    <cfRule type="containsText" dxfId="989" priority="16" operator="containsText" text="Z">
      <formula>NOT(ISERROR(SEARCH("Z",K2)))</formula>
    </cfRule>
  </conditionalFormatting>
  <conditionalFormatting sqref="C7:AG11">
    <cfRule type="containsText" dxfId="988" priority="12" operator="containsText" text="Z">
      <formula>NOT(ISERROR(SEARCH("Z",C7)))</formula>
    </cfRule>
  </conditionalFormatting>
  <conditionalFormatting sqref="C7:AG11">
    <cfRule type="containsText" dxfId="987" priority="11" operator="containsText" text="R">
      <formula>NOT(ISERROR(SEARCH("R",C7)))</formula>
    </cfRule>
  </conditionalFormatting>
  <conditionalFormatting sqref="C7:AG11">
    <cfRule type="containsText" dxfId="986" priority="10" operator="containsText" text="W">
      <formula>NOT(ISERROR(SEARCH("W",C7)))</formula>
    </cfRule>
  </conditionalFormatting>
  <conditionalFormatting sqref="AI7:AI11">
    <cfRule type="dataBar" priority="9">
      <dataBar>
        <cfvo type="min"/>
        <cfvo type="max"/>
        <color rgb="FF008AEF"/>
      </dataBar>
      <extLst>
        <ext xmlns:x14="http://schemas.microsoft.com/office/spreadsheetml/2009/9/main" uri="{B025F937-C7B1-47D3-B67F-A62EFF666E3E}">
          <x14:id>{FD1A6450-FAF9-4275-95E8-9628534E450A}</x14:id>
        </ext>
      </extLst>
    </cfRule>
    <cfRule type="dataBar" priority="7">
      <dataBar>
        <cfvo type="min"/>
        <cfvo type="max"/>
        <color rgb="FF638EC6"/>
      </dataBar>
      <extLst>
        <ext xmlns:x14="http://schemas.microsoft.com/office/spreadsheetml/2009/9/main" uri="{B025F937-C7B1-47D3-B67F-A62EFF666E3E}">
          <x14:id>{BCE6F049-BAA9-4BC1-96FE-1EE8F2051B72}</x14:id>
        </ext>
      </extLst>
    </cfRule>
  </conditionalFormatting>
  <conditionalFormatting sqref="AI7:AI11">
    <cfRule type="dataBar" priority="8">
      <dataBar>
        <cfvo type="min"/>
        <cfvo type="max"/>
        <color rgb="FF638EC6"/>
      </dataBar>
      <extLst>
        <ext xmlns:x14="http://schemas.microsoft.com/office/spreadsheetml/2009/9/main" uri="{B025F937-C7B1-47D3-B67F-A62EFF666E3E}">
          <x14:id>{9DEA6ADB-6C4F-4EDE-B8B9-9FCAC8603962}</x14:id>
        </ext>
      </extLst>
    </cfRule>
    <cfRule type="colorScale" priority="6">
      <colorScale>
        <cfvo type="num" val="0"/>
        <cfvo type="num" val="32"/>
        <color rgb="FFFF7128"/>
        <color rgb="FFFFEF9C"/>
      </colorScale>
    </cfRule>
    <cfRule type="dataBar" priority="5">
      <dataBar>
        <cfvo type="num" val="0"/>
        <cfvo type="num" val="31"/>
        <color rgb="FFFF0000"/>
      </dataBar>
      <extLst>
        <ext xmlns:x14="http://schemas.microsoft.com/office/spreadsheetml/2009/9/main" uri="{B025F937-C7B1-47D3-B67F-A62EFF666E3E}">
          <x14:id>{648E50E3-A6A5-4E7B-BA79-797F59D8A259}</x14:id>
        </ext>
      </extLst>
    </cfRule>
    <cfRule type="colorScale" priority="4">
      <colorScale>
        <cfvo type="min"/>
        <cfvo type="max"/>
        <color theme="0"/>
        <color rgb="FFFFEF9C"/>
      </colorScale>
    </cfRule>
    <cfRule type="dataBar" priority="3">
      <dataBar>
        <cfvo type="min"/>
        <cfvo type="max"/>
        <color rgb="FF638EC6"/>
      </dataBar>
      <extLst>
        <ext xmlns:x14="http://schemas.microsoft.com/office/spreadsheetml/2009/9/main" uri="{B025F937-C7B1-47D3-B67F-A62EFF666E3E}">
          <x14:id>{A71D9229-C3A2-4F8F-BA76-F1255B63CD9E}</x14:id>
        </ext>
      </extLst>
    </cfRule>
    <cfRule type="dataBar" priority="2">
      <dataBar>
        <cfvo type="num" val="0"/>
        <cfvo type="num" val="31"/>
        <color rgb="FFFF0000"/>
      </dataBar>
      <extLst>
        <ext xmlns:x14="http://schemas.microsoft.com/office/spreadsheetml/2009/9/main" uri="{B025F937-C7B1-47D3-B67F-A62EFF666E3E}">
          <x14:id>{157A9EF7-4C6B-415D-BA08-1227A957BB87}</x14:id>
        </ext>
      </extLst>
    </cfRule>
  </conditionalFormatting>
  <conditionalFormatting sqref="C5:AG11">
    <cfRule type="expression" dxfId="985" priority="1">
      <formula>WEEKDAY(C$5,2)&gt;5</formula>
    </cfRule>
  </conditionalFormatting>
  <dataValidations count="15">
    <dataValidation allowBlank="1" showInputMessage="1" showErrorMessage="1" prompt="Voer het jaar in deze cel in" sqref="AH4"/>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weekdagen in deze rij worden automatisch bijgewerkt voor de maand op basis van het jaar dat u in AH4 hebt ingevoerd. Elke dag van de maand is een kolom om de afwezigheid en het type afwezigheid van een werknemer te noteren" sqref="C5"/>
    <dataValidation allowBlank="1" showInputMessage="1" showErrorMessage="1" prompt="Berekent automatisch het totaal aantal dagen dat een werknemer in deze maand niet aanwezig was" sqref="AH6"/>
    <dataValidation allowBlank="1" showInputMessage="1" showErrorMessage="1" prompt="De titel van dit werkblad staat in deze cel. Werk de titel bij en de wijziging wordt automatisch overgenomen door elk werkblad" sqref="B1"/>
    <dataValidation allowBlank="1" showInputMessage="1" showErrorMessage="1" prompt="Maand van deze afwezigheidsplanning. Werk in cel AH4 het jaar bij. Houd de totalen bij per maand in de laatste cel van de tabel. Voer de werknemersnamen in kolom B in"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AB2 X2 N2 Q2"/>
    <dataValidation allowBlank="1" showInputMessage="1" showErrorMessage="1" prompt="Voer links een label om de aangepaste sleutel te beschrijven in" sqref="AC2:AE2 Y2:AA2 O2:P2 R2"/>
    <dataValidation allowBlank="1" showInputMessage="1" showErrorMessage="1" prompt="Met de werknemersafwezigheidsplanning wordt de afwezigheid van werknemers in dagen per maand bijgehouden. Er zijn 13 werkbladen, 12 maandelijkse en een laatste voor namen van werknemers. Houd de afwezigheid in januari in dit werkblad bij" sqref="A1"/>
    <dataValidation allowBlank="1" showInputMessage="1" showErrorMessage="1" prompt="Jaar invoeren in de cel onder" sqref="AH3"/>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 xmlns:xm="http://schemas.microsoft.com/office/excel/2006/main">
          <x14:cfRule type="dataBar" id="{FD1A6450-FAF9-4275-95E8-9628534E450A}">
            <x14:dataBar minLength="0" maxLength="100" gradient="0">
              <x14:cfvo type="autoMin"/>
              <x14:cfvo type="autoMax"/>
              <x14:negativeFillColor rgb="FFFF0000"/>
              <x14:axisColor rgb="FF000000"/>
            </x14:dataBar>
          </x14:cfRule>
          <x14:cfRule type="dataBar" id="{BCE6F049-BAA9-4BC1-96FE-1EE8F2051B72}">
            <x14:dataBar minLength="0" maxLength="100">
              <x14:cfvo type="autoMin"/>
              <x14:cfvo type="autoMax"/>
              <x14:negativeFillColor rgb="FFFF0000"/>
              <x14:axisColor rgb="FF000000"/>
            </x14:dataBar>
          </x14:cfRule>
          <xm:sqref>AI7:AI11</xm:sqref>
        </x14:conditionalFormatting>
        <x14:conditionalFormatting xmlns:xm="http://schemas.microsoft.com/office/excel/2006/main">
          <x14:cfRule type="dataBar" id="{9DEA6ADB-6C4F-4EDE-B8B9-9FCAC8603962}">
            <x14:dataBar minLength="0" maxLength="100" gradient="0">
              <x14:cfvo type="min"/>
              <x14:cfvo type="autoMax"/>
              <x14:negativeFillColor rgb="FFFF0000"/>
              <x14:axisColor rgb="FF000000"/>
            </x14:dataBar>
          </x14:cfRule>
          <x14:cfRule type="dataBar" id="{648E50E3-A6A5-4E7B-BA79-797F59D8A259}">
            <x14:dataBar minLength="0" maxLength="100" gradient="0">
              <x14:cfvo type="num">
                <xm:f>0</xm:f>
              </x14:cfvo>
              <x14:cfvo type="num">
                <xm:f>31</xm:f>
              </x14:cfvo>
              <x14:negativeFillColor rgb="FFFF0000"/>
              <x14:axisColor rgb="FF000000"/>
            </x14:dataBar>
          </x14:cfRule>
          <x14:cfRule type="dataBar" id="{A71D9229-C3A2-4F8F-BA76-F1255B63CD9E}">
            <x14:dataBar minLength="0" maxLength="100">
              <x14:cfvo type="autoMin"/>
              <x14:cfvo type="autoMax"/>
              <x14:negativeFillColor rgb="FFFF0000"/>
              <x14:axisColor rgb="FF000000"/>
            </x14:dataBar>
          </x14:cfRule>
          <x14:cfRule type="dataBar" id="{157A9EF7-4C6B-415D-BA08-1227A957BB87}">
            <x14:dataBar minLength="0" maxLength="100" gradient="0">
              <x14:cfvo type="num">
                <xm:f>0</xm:f>
              </x14:cfvo>
              <x14:cfvo type="num">
                <xm:f>31</xm:f>
              </x14:cfvo>
              <x14:negativeFillColor rgb="FFFF0000"/>
              <x14:axisColor rgb="FF000000"/>
            </x14:dataBar>
          </x14:cfRule>
          <xm:sqref>AI7:AI11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2" tint="-0.249977111117893"/>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48</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TEXT(WEEKDAY(DATE(CalendarYear,10,1),1),"aaa")</f>
        <v>zo</v>
      </c>
      <c r="D5" s="1" t="str">
        <f>TEXT(WEEKDAY(DATE(CalendarYear,10,2),1),"aaa")</f>
        <v>ma</v>
      </c>
      <c r="E5" s="1" t="str">
        <f>TEXT(WEEKDAY(DATE(CalendarYear,10,3),1),"aaa")</f>
        <v>di</v>
      </c>
      <c r="F5" s="1" t="str">
        <f>TEXT(WEEKDAY(DATE(CalendarYear,10,4),1),"aaa")</f>
        <v>wo</v>
      </c>
      <c r="G5" s="1" t="str">
        <f>TEXT(WEEKDAY(DATE(CalendarYear,10,5),1),"aaa")</f>
        <v>do</v>
      </c>
      <c r="H5" s="1" t="str">
        <f>TEXT(WEEKDAY(DATE(CalendarYear,10,6),1),"aaa")</f>
        <v>vr</v>
      </c>
      <c r="I5" s="1" t="str">
        <f>TEXT(WEEKDAY(DATE(CalendarYear,10,7),1),"aaa")</f>
        <v>za</v>
      </c>
      <c r="J5" s="1" t="str">
        <f>TEXT(WEEKDAY(DATE(CalendarYear,10,8),1),"aaa")</f>
        <v>zo</v>
      </c>
      <c r="K5" s="1" t="str">
        <f>TEXT(WEEKDAY(DATE(CalendarYear,10,9),1),"aaa")</f>
        <v>ma</v>
      </c>
      <c r="L5" s="1" t="str">
        <f>TEXT(WEEKDAY(DATE(CalendarYear,10,10),1),"aaa")</f>
        <v>di</v>
      </c>
      <c r="M5" s="1" t="str">
        <f>TEXT(WEEKDAY(DATE(CalendarYear,10,11),1),"aaa")</f>
        <v>wo</v>
      </c>
      <c r="N5" s="1" t="str">
        <f>TEXT(WEEKDAY(DATE(CalendarYear,10,12),1),"aaa")</f>
        <v>do</v>
      </c>
      <c r="O5" s="1" t="str">
        <f>TEXT(WEEKDAY(DATE(CalendarYear,10,13),1),"aaa")</f>
        <v>vr</v>
      </c>
      <c r="P5" s="1" t="str">
        <f>TEXT(WEEKDAY(DATE(CalendarYear,10,14),1),"aaa")</f>
        <v>za</v>
      </c>
      <c r="Q5" s="1" t="str">
        <f>TEXT(WEEKDAY(DATE(CalendarYear,10,15),1),"aaa")</f>
        <v>zo</v>
      </c>
      <c r="R5" s="1" t="str">
        <f>TEXT(WEEKDAY(DATE(CalendarYear,10,16),1),"aaa")</f>
        <v>ma</v>
      </c>
      <c r="S5" s="1" t="str">
        <f>TEXT(WEEKDAY(DATE(CalendarYear,10,17),1),"aaa")</f>
        <v>di</v>
      </c>
      <c r="T5" s="1" t="str">
        <f>TEXT(WEEKDAY(DATE(CalendarYear,10,18),1),"aaa")</f>
        <v>wo</v>
      </c>
      <c r="U5" s="1" t="str">
        <f>TEXT(WEEKDAY(DATE(CalendarYear,10,19),1),"aaa")</f>
        <v>do</v>
      </c>
      <c r="V5" s="1" t="str">
        <f>TEXT(WEEKDAY(DATE(CalendarYear,10,20),1),"aaa")</f>
        <v>vr</v>
      </c>
      <c r="W5" s="1" t="str">
        <f>TEXT(WEEKDAY(DATE(CalendarYear,10,21),1),"aaa")</f>
        <v>za</v>
      </c>
      <c r="X5" s="1" t="str">
        <f>TEXT(WEEKDAY(DATE(CalendarYear,10,22),1),"aaa")</f>
        <v>zo</v>
      </c>
      <c r="Y5" s="1" t="str">
        <f>TEXT(WEEKDAY(DATE(CalendarYear,10,23),1),"aaa")</f>
        <v>ma</v>
      </c>
      <c r="Z5" s="1" t="str">
        <f>TEXT(WEEKDAY(DATE(CalendarYear,10,24),1),"aaa")</f>
        <v>di</v>
      </c>
      <c r="AA5" s="1" t="str">
        <f>TEXT(WEEKDAY(DATE(CalendarYear,10,25),1),"aaa")</f>
        <v>wo</v>
      </c>
      <c r="AB5" s="1" t="str">
        <f>TEXT(WEEKDAY(DATE(CalendarYear,10,26),1),"aaa")</f>
        <v>do</v>
      </c>
      <c r="AC5" s="1" t="str">
        <f>TEXT(WEEKDAY(DATE(CalendarYear,10,27),1),"aaa")</f>
        <v>vr</v>
      </c>
      <c r="AD5" s="1" t="str">
        <f>TEXT(WEEKDAY(DATE(CalendarYear,10,28),1),"aaa")</f>
        <v>za</v>
      </c>
      <c r="AE5" s="1" t="str">
        <f>TEXT(WEEKDAY(DATE(CalendarYear,10,29),1),"aaa")</f>
        <v>zo</v>
      </c>
      <c r="AF5" s="1" t="str">
        <f>TEXT(WEEKDAY(DATE(CalendarYear,10,30),1),"aaa")</f>
        <v>ma</v>
      </c>
      <c r="AG5" s="1" t="str">
        <f>TEXT(WEEKDAY(DATE(CalendarYear,10,31),1),"aaa")</f>
        <v>di</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COUNTA(Oktober[[#This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COUNTA(Oktober[[#This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COUNTA(Oktober[[#This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COUNTA(Oktober[[#This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COUNTA(Oktober[[#This Row],[1]:[31]])</f>
        <v>0</v>
      </c>
    </row>
    <row r="12" spans="2:34" ht="30" customHeight="1" x14ac:dyDescent="0.25">
      <c r="B12" s="14" t="str">
        <f>MonthName&amp;" totaal"</f>
        <v>Oktober totaal</v>
      </c>
      <c r="C12" s="8">
        <f>SUBTOTAL(103,Oktober[1])</f>
        <v>0</v>
      </c>
      <c r="D12" s="8">
        <f>SUBTOTAL(103,Oktober[2])</f>
        <v>0</v>
      </c>
      <c r="E12" s="8">
        <f>SUBTOTAL(103,Oktober[3])</f>
        <v>0</v>
      </c>
      <c r="F12" s="8">
        <f>SUBTOTAL(103,Oktober[4])</f>
        <v>0</v>
      </c>
      <c r="G12" s="8">
        <f>SUBTOTAL(103,Oktober[5])</f>
        <v>0</v>
      </c>
      <c r="H12" s="8">
        <f>SUBTOTAL(103,Oktober[6])</f>
        <v>0</v>
      </c>
      <c r="I12" s="8">
        <f>SUBTOTAL(103,Oktober[7])</f>
        <v>0</v>
      </c>
      <c r="J12" s="8">
        <f>SUBTOTAL(103,Oktober[8])</f>
        <v>0</v>
      </c>
      <c r="K12" s="8">
        <f>SUBTOTAL(103,Oktober[9])</f>
        <v>0</v>
      </c>
      <c r="L12" s="8">
        <f>SUBTOTAL(103,Oktober[10])</f>
        <v>0</v>
      </c>
      <c r="M12" s="8">
        <f>SUBTOTAL(103,Oktober[11])</f>
        <v>0</v>
      </c>
      <c r="N12" s="8">
        <f>SUBTOTAL(103,Oktober[12])</f>
        <v>0</v>
      </c>
      <c r="O12" s="8">
        <f>SUBTOTAL(103,Oktober[13])</f>
        <v>0</v>
      </c>
      <c r="P12" s="8">
        <f>SUBTOTAL(103,Oktober[14])</f>
        <v>0</v>
      </c>
      <c r="Q12" s="8">
        <f>SUBTOTAL(103,Oktober[15])</f>
        <v>0</v>
      </c>
      <c r="R12" s="8">
        <f>SUBTOTAL(103,Oktober[16])</f>
        <v>0</v>
      </c>
      <c r="S12" s="8">
        <f>SUBTOTAL(103,Oktober[17])</f>
        <v>0</v>
      </c>
      <c r="T12" s="8">
        <f>SUBTOTAL(103,Oktober[18])</f>
        <v>0</v>
      </c>
      <c r="U12" s="8">
        <f>SUBTOTAL(103,Oktober[19])</f>
        <v>0</v>
      </c>
      <c r="V12" s="8">
        <f>SUBTOTAL(103,Oktober[20])</f>
        <v>0</v>
      </c>
      <c r="W12" s="8">
        <f>SUBTOTAL(103,Oktober[21])</f>
        <v>0</v>
      </c>
      <c r="X12" s="8">
        <f>SUBTOTAL(103,Oktober[22])</f>
        <v>0</v>
      </c>
      <c r="Y12" s="8">
        <f>SUBTOTAL(103,Oktober[23])</f>
        <v>0</v>
      </c>
      <c r="Z12" s="8">
        <f>SUBTOTAL(103,Oktober[24])</f>
        <v>0</v>
      </c>
      <c r="AA12" s="8">
        <f>SUBTOTAL(103,Oktober[25])</f>
        <v>0</v>
      </c>
      <c r="AB12" s="8">
        <f>SUBTOTAL(103,Oktober[26])</f>
        <v>0</v>
      </c>
      <c r="AC12" s="8">
        <f>SUBTOTAL(103,Oktober[27])</f>
        <v>0</v>
      </c>
      <c r="AD12" s="8">
        <f>SUBTOTAL(103,Oktober[28])</f>
        <v>0</v>
      </c>
      <c r="AE12" s="8">
        <f>SUBTOTAL(103,Oktober[29])</f>
        <v>0</v>
      </c>
      <c r="AF12" s="8">
        <f>SUBTOTAL(109,Oktober[30])</f>
        <v>0</v>
      </c>
      <c r="AG12" s="8">
        <f>SUBTOTAL(109,Oktober[31])</f>
        <v>0</v>
      </c>
      <c r="AH12" s="8">
        <f>SUBTOTAL(109,Oktober[Totaal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257" priority="14" stopIfTrue="1">
      <formula>C7=KeyCustom2</formula>
    </cfRule>
    <cfRule type="expression" dxfId="256" priority="15" stopIfTrue="1">
      <formula>C7=KeyCustom1</formula>
    </cfRule>
    <cfRule type="expression" dxfId="255" priority="16" stopIfTrue="1">
      <formula>C7=KeySick</formula>
    </cfRule>
    <cfRule type="expression" dxfId="254" priority="17" stopIfTrue="1">
      <formula>C7=KeyPersonal</formula>
    </cfRule>
    <cfRule type="expression" dxfId="253"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{F32A08EA-50E8-4B5F-AB1F-5A7739FBC16C}</x14:id>
        </ext>
      </extLst>
    </cfRule>
  </conditionalFormatting>
  <conditionalFormatting sqref="C2">
    <cfRule type="containsText" dxfId="252" priority="2" operator="containsText" text="V">
      <formula>NOT(ISERROR(SEARCH("V",C2)))</formula>
    </cfRule>
    <cfRule type="containsText" dxfId="251" priority="3" operator="containsText" text="V">
      <formula>NOT(ISERROR(SEARCH("V",C2)))</formula>
    </cfRule>
    <cfRule type="containsText" dxfId="250" priority="9" operator="containsText" text="V">
      <formula>NOT(ISERROR(SEARCH("V",C2)))</formula>
    </cfRule>
    <cfRule type="containsText" dxfId="249" priority="10" operator="containsText" text="V">
      <formula>NOT(ISERROR(SEARCH("V",C2)))</formula>
    </cfRule>
    <cfRule type="containsText" dxfId="248" priority="11" operator="containsText" text="V">
      <formula>NOT(ISERROR(SEARCH("V",C2)))</formula>
    </cfRule>
    <cfRule type="containsText" dxfId="247" priority="12" operator="containsText" text="V">
      <formula>NOT(ISERROR(SEARCH("V",C2)))</formula>
    </cfRule>
  </conditionalFormatting>
  <conditionalFormatting sqref="F2">
    <cfRule type="containsText" dxfId="246" priority="5" operator="containsText" text="e">
      <formula>NOT(ISERROR(SEARCH("e",F2)))</formula>
    </cfRule>
    <cfRule type="cellIs" dxfId="245" priority="6" operator="equal">
      <formula>42767</formula>
    </cfRule>
    <cfRule type="containsText" dxfId="244" priority="7" operator="containsText" text="1/2">
      <formula>NOT(ISERROR(SEARCH("1/2",F2)))</formula>
    </cfRule>
    <cfRule type="containsText" dxfId="243" priority="8" operator="containsText" text="R">
      <formula>NOT(ISERROR(SEARCH("R",F2)))</formula>
    </cfRule>
  </conditionalFormatting>
  <conditionalFormatting sqref="K2">
    <cfRule type="containsText" dxfId="242" priority="1" operator="containsText" text="Z">
      <formula>NOT(ISERROR(SEARCH("Z",K2)))</formula>
    </cfRule>
    <cfRule type="containsText" dxfId="241" priority="4" operator="containsText" text="Z">
      <formula>NOT(ISERROR(SEARCH("Z",K2)))</formula>
    </cfRule>
  </conditionalFormatting>
  <dataValidations count="1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oktober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theme="2" tint="-0.249977111117893"/>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49</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TEXT(WEEKDAY(DATE(CalendarYear,11,1),1),"aaa")</f>
        <v>wo</v>
      </c>
      <c r="D5" s="1" t="str">
        <f>TEXT(WEEKDAY(DATE(CalendarYear,11,2),1),"aaa")</f>
        <v>do</v>
      </c>
      <c r="E5" s="1" t="str">
        <f>TEXT(WEEKDAY(DATE(CalendarYear,11,3),1),"aaa")</f>
        <v>vr</v>
      </c>
      <c r="F5" s="1" t="str">
        <f>TEXT(WEEKDAY(DATE(CalendarYear,11,4),1),"aaa")</f>
        <v>za</v>
      </c>
      <c r="G5" s="1" t="str">
        <f>TEXT(WEEKDAY(DATE(CalendarYear,11,5),1),"aaa")</f>
        <v>zo</v>
      </c>
      <c r="H5" s="1" t="str">
        <f>TEXT(WEEKDAY(DATE(CalendarYear,11,6),1),"aaa")</f>
        <v>ma</v>
      </c>
      <c r="I5" s="1" t="str">
        <f>TEXT(WEEKDAY(DATE(CalendarYear,11,7),1),"aaa")</f>
        <v>di</v>
      </c>
      <c r="J5" s="1" t="str">
        <f>TEXT(WEEKDAY(DATE(CalendarYear,11,8),1),"aaa")</f>
        <v>wo</v>
      </c>
      <c r="K5" s="1" t="str">
        <f>TEXT(WEEKDAY(DATE(CalendarYear,11,9),1),"aaa")</f>
        <v>do</v>
      </c>
      <c r="L5" s="1" t="str">
        <f>TEXT(WEEKDAY(DATE(CalendarYear,11,10),1),"aaa")</f>
        <v>vr</v>
      </c>
      <c r="M5" s="1" t="str">
        <f>TEXT(WEEKDAY(DATE(CalendarYear,11,11),1),"aaa")</f>
        <v>za</v>
      </c>
      <c r="N5" s="1" t="str">
        <f>TEXT(WEEKDAY(DATE(CalendarYear,11,12),1),"aaa")</f>
        <v>zo</v>
      </c>
      <c r="O5" s="1" t="str">
        <f>TEXT(WEEKDAY(DATE(CalendarYear,11,13),1),"aaa")</f>
        <v>ma</v>
      </c>
      <c r="P5" s="1" t="str">
        <f>TEXT(WEEKDAY(DATE(CalendarYear,11,14),1),"aaa")</f>
        <v>di</v>
      </c>
      <c r="Q5" s="1" t="str">
        <f>TEXT(WEEKDAY(DATE(CalendarYear,11,15),1),"aaa")</f>
        <v>wo</v>
      </c>
      <c r="R5" s="1" t="str">
        <f>TEXT(WEEKDAY(DATE(CalendarYear,11,16),1),"aaa")</f>
        <v>do</v>
      </c>
      <c r="S5" s="1" t="str">
        <f>TEXT(WEEKDAY(DATE(CalendarYear,11,17),1),"aaa")</f>
        <v>vr</v>
      </c>
      <c r="T5" s="1" t="str">
        <f>TEXT(WEEKDAY(DATE(CalendarYear,11,18),1),"aaa")</f>
        <v>za</v>
      </c>
      <c r="U5" s="1" t="str">
        <f>TEXT(WEEKDAY(DATE(CalendarYear,11,19),1),"aaa")</f>
        <v>zo</v>
      </c>
      <c r="V5" s="1" t="str">
        <f>TEXT(WEEKDAY(DATE(CalendarYear,11,20),1),"aaa")</f>
        <v>ma</v>
      </c>
      <c r="W5" s="1" t="str">
        <f>TEXT(WEEKDAY(DATE(CalendarYear,11,21),1),"aaa")</f>
        <v>di</v>
      </c>
      <c r="X5" s="1" t="str">
        <f>TEXT(WEEKDAY(DATE(CalendarYear,11,22),1),"aaa")</f>
        <v>wo</v>
      </c>
      <c r="Y5" s="1" t="str">
        <f>TEXT(WEEKDAY(DATE(CalendarYear,11,23),1),"aaa")</f>
        <v>do</v>
      </c>
      <c r="Z5" s="1" t="str">
        <f>TEXT(WEEKDAY(DATE(CalendarYear,11,24),1),"aaa")</f>
        <v>vr</v>
      </c>
      <c r="AA5" s="1" t="str">
        <f>TEXT(WEEKDAY(DATE(CalendarYear,11,25),1),"aaa")</f>
        <v>za</v>
      </c>
      <c r="AB5" s="1" t="str">
        <f>TEXT(WEEKDAY(DATE(CalendarYear,11,26),1),"aaa")</f>
        <v>zo</v>
      </c>
      <c r="AC5" s="1" t="str">
        <f>TEXT(WEEKDAY(DATE(CalendarYear,11,27),1),"aaa")</f>
        <v>ma</v>
      </c>
      <c r="AD5" s="1" t="str">
        <f>TEXT(WEEKDAY(DATE(CalendarYear,11,28),1),"aaa")</f>
        <v>di</v>
      </c>
      <c r="AE5" s="1" t="str">
        <f>TEXT(WEEKDAY(DATE(CalendarYear,11,29),1),"aaa")</f>
        <v>wo</v>
      </c>
      <c r="AF5" s="1" t="str">
        <f>TEXT(WEEKDAY(DATE(CalendarYear,11,30),1),"aaa")</f>
        <v>do</v>
      </c>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COUNTA(November[[#This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COUNTA(November[[#This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COUNTA(November[[#This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COUNTA(November[[#This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COUNTA(November[[#This Row],[1]:[31]])</f>
        <v>0</v>
      </c>
    </row>
    <row r="12" spans="2:34" ht="30" customHeight="1" x14ac:dyDescent="0.25">
      <c r="B12" s="14" t="str">
        <f>MonthName&amp;" totaal"</f>
        <v>November totaal</v>
      </c>
      <c r="C12" s="8">
        <f>SUBTOTAL(103,November[1])</f>
        <v>0</v>
      </c>
      <c r="D12" s="8">
        <f>SUBTOTAL(103,November[2])</f>
        <v>0</v>
      </c>
      <c r="E12" s="8">
        <f>SUBTOTAL(103,November[3])</f>
        <v>0</v>
      </c>
      <c r="F12" s="8">
        <f>SUBTOTAL(103,November[4])</f>
        <v>0</v>
      </c>
      <c r="G12" s="8">
        <f>SUBTOTAL(103,November[5])</f>
        <v>0</v>
      </c>
      <c r="H12" s="8">
        <f>SUBTOTAL(103,November[6])</f>
        <v>0</v>
      </c>
      <c r="I12" s="8">
        <f>SUBTOTAL(103,November[7])</f>
        <v>0</v>
      </c>
      <c r="J12" s="8">
        <f>SUBTOTAL(103,November[8])</f>
        <v>0</v>
      </c>
      <c r="K12" s="8">
        <f>SUBTOTAL(103,November[9])</f>
        <v>0</v>
      </c>
      <c r="L12" s="8">
        <f>SUBTOTAL(103,November[10])</f>
        <v>0</v>
      </c>
      <c r="M12" s="8">
        <f>SUBTOTAL(103,November[11])</f>
        <v>0</v>
      </c>
      <c r="N12" s="8">
        <f>SUBTOTAL(103,November[12])</f>
        <v>0</v>
      </c>
      <c r="O12" s="8">
        <f>SUBTOTAL(103,November[13])</f>
        <v>0</v>
      </c>
      <c r="P12" s="8">
        <f>SUBTOTAL(103,November[14])</f>
        <v>0</v>
      </c>
      <c r="Q12" s="8">
        <f>SUBTOTAL(103,November[15])</f>
        <v>0</v>
      </c>
      <c r="R12" s="8">
        <f>SUBTOTAL(103,November[16])</f>
        <v>0</v>
      </c>
      <c r="S12" s="8">
        <f>SUBTOTAL(103,November[17])</f>
        <v>0</v>
      </c>
      <c r="T12" s="8">
        <f>SUBTOTAL(103,November[18])</f>
        <v>0</v>
      </c>
      <c r="U12" s="8">
        <f>SUBTOTAL(103,November[19])</f>
        <v>0</v>
      </c>
      <c r="V12" s="8">
        <f>SUBTOTAL(103,November[20])</f>
        <v>0</v>
      </c>
      <c r="W12" s="8">
        <f>SUBTOTAL(103,November[21])</f>
        <v>0</v>
      </c>
      <c r="X12" s="8">
        <f>SUBTOTAL(103,November[22])</f>
        <v>0</v>
      </c>
      <c r="Y12" s="8">
        <f>SUBTOTAL(103,November[23])</f>
        <v>0</v>
      </c>
      <c r="Z12" s="8">
        <f>SUBTOTAL(103,November[24])</f>
        <v>0</v>
      </c>
      <c r="AA12" s="8">
        <f>SUBTOTAL(103,November[25])</f>
        <v>0</v>
      </c>
      <c r="AB12" s="8">
        <f>SUBTOTAL(103,November[26])</f>
        <v>0</v>
      </c>
      <c r="AC12" s="8">
        <f>SUBTOTAL(103,November[27])</f>
        <v>0</v>
      </c>
      <c r="AD12" s="8">
        <f>SUBTOTAL(103,November[28])</f>
        <v>0</v>
      </c>
      <c r="AE12" s="8">
        <f>SUBTOTAL(103,November[29])</f>
        <v>0</v>
      </c>
      <c r="AF12" s="8">
        <f>SUBTOTAL(109,November[30])</f>
        <v>0</v>
      </c>
      <c r="AG12" s="8">
        <f>SUBTOTAL(109,November[31])</f>
        <v>0</v>
      </c>
      <c r="AH12" s="8">
        <f>SUBTOTAL(109,November[Totaal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171" priority="14" stopIfTrue="1">
      <formula>C7=KeyCustom2</formula>
    </cfRule>
    <cfRule type="expression" dxfId="170" priority="15" stopIfTrue="1">
      <formula>C7=KeyCustom1</formula>
    </cfRule>
    <cfRule type="expression" dxfId="169" priority="16" stopIfTrue="1">
      <formula>C7=KeySick</formula>
    </cfRule>
    <cfRule type="expression" dxfId="168" priority="17" stopIfTrue="1">
      <formula>C7=KeyPersonal</formula>
    </cfRule>
    <cfRule type="expression" dxfId="167"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{27D92E49-5CF1-46DF-AD7A-3A5E92F274F3}</x14:id>
        </ext>
      </extLst>
    </cfRule>
  </conditionalFormatting>
  <conditionalFormatting sqref="C2">
    <cfRule type="containsText" dxfId="166" priority="2" operator="containsText" text="V">
      <formula>NOT(ISERROR(SEARCH("V",C2)))</formula>
    </cfRule>
    <cfRule type="containsText" dxfId="165" priority="3" operator="containsText" text="V">
      <formula>NOT(ISERROR(SEARCH("V",C2)))</formula>
    </cfRule>
    <cfRule type="containsText" dxfId="164" priority="9" operator="containsText" text="V">
      <formula>NOT(ISERROR(SEARCH("V",C2)))</formula>
    </cfRule>
    <cfRule type="containsText" dxfId="163" priority="10" operator="containsText" text="V">
      <formula>NOT(ISERROR(SEARCH("V",C2)))</formula>
    </cfRule>
    <cfRule type="containsText" dxfId="162" priority="11" operator="containsText" text="V">
      <formula>NOT(ISERROR(SEARCH("V",C2)))</formula>
    </cfRule>
    <cfRule type="containsText" dxfId="161" priority="12" operator="containsText" text="V">
      <formula>NOT(ISERROR(SEARCH("V",C2)))</formula>
    </cfRule>
  </conditionalFormatting>
  <conditionalFormatting sqref="F2">
    <cfRule type="containsText" dxfId="160" priority="5" operator="containsText" text="e">
      <formula>NOT(ISERROR(SEARCH("e",F2)))</formula>
    </cfRule>
    <cfRule type="cellIs" dxfId="159" priority="6" operator="equal">
      <formula>42767</formula>
    </cfRule>
    <cfRule type="containsText" dxfId="158" priority="7" operator="containsText" text="1/2">
      <formula>NOT(ISERROR(SEARCH("1/2",F2)))</formula>
    </cfRule>
    <cfRule type="containsText" dxfId="157" priority="8" operator="containsText" text="R">
      <formula>NOT(ISERROR(SEARCH("R",F2)))</formula>
    </cfRule>
  </conditionalFormatting>
  <conditionalFormatting sqref="K2">
    <cfRule type="containsText" dxfId="156" priority="1" operator="containsText" text="Z">
      <formula>NOT(ISERROR(SEARCH("Z",K2)))</formula>
    </cfRule>
    <cfRule type="containsText" dxfId="155"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november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theme="7" tint="0.79998168889431442"/>
    <pageSetUpPr fitToPage="1"/>
  </sheetPr>
  <dimension ref="A1:AH12"/>
  <sheetViews>
    <sheetView showGridLines="0" zoomScaleNormal="100" workbookViewId="0">
      <selection activeCell="J17" sqref="J17"/>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50</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TEXT(WEEKDAY(DATE(CalendarYear,12,1),1),"aaa")</f>
        <v>vr</v>
      </c>
      <c r="D5" s="1" t="str">
        <f>TEXT(WEEKDAY(DATE(CalendarYear,12,2),1),"aaa")</f>
        <v>za</v>
      </c>
      <c r="E5" s="1" t="str">
        <f>TEXT(WEEKDAY(DATE(CalendarYear,12,3),1),"aaa")</f>
        <v>zo</v>
      </c>
      <c r="F5" s="1" t="str">
        <f>TEXT(WEEKDAY(DATE(CalendarYear,12,4),1),"aaa")</f>
        <v>ma</v>
      </c>
      <c r="G5" s="1" t="str">
        <f>TEXT(WEEKDAY(DATE(CalendarYear,12,5),1),"aaa")</f>
        <v>di</v>
      </c>
      <c r="H5" s="1" t="str">
        <f>TEXT(WEEKDAY(DATE(CalendarYear,12,6),1),"aaa")</f>
        <v>wo</v>
      </c>
      <c r="I5" s="1" t="str">
        <f>TEXT(WEEKDAY(DATE(CalendarYear,12,7),1),"aaa")</f>
        <v>do</v>
      </c>
      <c r="J5" s="1" t="str">
        <f>TEXT(WEEKDAY(DATE(CalendarYear,12,8),1),"aaa")</f>
        <v>vr</v>
      </c>
      <c r="K5" s="1" t="str">
        <f>TEXT(WEEKDAY(DATE(CalendarYear,12,9),1),"aaa")</f>
        <v>za</v>
      </c>
      <c r="L5" s="1" t="str">
        <f>TEXT(WEEKDAY(DATE(CalendarYear,12,10),1),"aaa")</f>
        <v>zo</v>
      </c>
      <c r="M5" s="1" t="str">
        <f>TEXT(WEEKDAY(DATE(CalendarYear,12,11),1),"aaa")</f>
        <v>ma</v>
      </c>
      <c r="N5" s="1" t="str">
        <f>TEXT(WEEKDAY(DATE(CalendarYear,12,12),1),"aaa")</f>
        <v>di</v>
      </c>
      <c r="O5" s="1" t="str">
        <f>TEXT(WEEKDAY(DATE(CalendarYear,12,13),1),"aaa")</f>
        <v>wo</v>
      </c>
      <c r="P5" s="1" t="str">
        <f>TEXT(WEEKDAY(DATE(CalendarYear,12,14),1),"aaa")</f>
        <v>do</v>
      </c>
      <c r="Q5" s="1" t="str">
        <f>TEXT(WEEKDAY(DATE(CalendarYear,12,15),1),"aaa")</f>
        <v>vr</v>
      </c>
      <c r="R5" s="1" t="str">
        <f>TEXT(WEEKDAY(DATE(CalendarYear,12,16),1),"aaa")</f>
        <v>za</v>
      </c>
      <c r="S5" s="1" t="str">
        <f>TEXT(WEEKDAY(DATE(CalendarYear,12,17),1),"aaa")</f>
        <v>zo</v>
      </c>
      <c r="T5" s="1" t="str">
        <f>TEXT(WEEKDAY(DATE(CalendarYear,12,18),1),"aaa")</f>
        <v>ma</v>
      </c>
      <c r="U5" s="1" t="str">
        <f>TEXT(WEEKDAY(DATE(CalendarYear,12,19),1),"aaa")</f>
        <v>di</v>
      </c>
      <c r="V5" s="1" t="str">
        <f>TEXT(WEEKDAY(DATE(CalendarYear,12,20),1),"aaa")</f>
        <v>wo</v>
      </c>
      <c r="W5" s="1" t="str">
        <f>TEXT(WEEKDAY(DATE(CalendarYear,12,21),1),"aaa")</f>
        <v>do</v>
      </c>
      <c r="X5" s="1" t="str">
        <f>TEXT(WEEKDAY(DATE(CalendarYear,12,22),1),"aaa")</f>
        <v>vr</v>
      </c>
      <c r="Y5" s="1" t="str">
        <f>TEXT(WEEKDAY(DATE(CalendarYear,12,23),1),"aaa")</f>
        <v>za</v>
      </c>
      <c r="Z5" s="1" t="str">
        <f>TEXT(WEEKDAY(DATE(CalendarYear,12,24),1),"aaa")</f>
        <v>zo</v>
      </c>
      <c r="AA5" s="1" t="str">
        <f>TEXT(WEEKDAY(DATE(CalendarYear,12,25),1),"aaa")</f>
        <v>ma</v>
      </c>
      <c r="AB5" s="1" t="str">
        <f>TEXT(WEEKDAY(DATE(CalendarYear,12,26),1),"aaa")</f>
        <v>di</v>
      </c>
      <c r="AC5" s="1" t="str">
        <f>TEXT(WEEKDAY(DATE(CalendarYear,12,27),1),"aaa")</f>
        <v>wo</v>
      </c>
      <c r="AD5" s="1" t="str">
        <f>TEXT(WEEKDAY(DATE(CalendarYear,12,28),1),"aaa")</f>
        <v>do</v>
      </c>
      <c r="AE5" s="1" t="str">
        <f>TEXT(WEEKDAY(DATE(CalendarYear,12,29),1),"aaa")</f>
        <v>vr</v>
      </c>
      <c r="AF5" s="1" t="str">
        <f>TEXT(WEEKDAY(DATE(CalendarYear,12,30),1),"aaa")</f>
        <v>za</v>
      </c>
      <c r="AG5" s="1" t="str">
        <f>TEXT(WEEKDAY(DATE(CalendarYear,12,31),1),"aaa")</f>
        <v>zo</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COUNTA(December[[#This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COUNTA(December[[#This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COUNTA(December[[#This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COUNTA(December[[#This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COUNTA(December[[#This Row],[1]:[31]])</f>
        <v>0</v>
      </c>
    </row>
    <row r="12" spans="2:34" ht="30" customHeight="1" x14ac:dyDescent="0.25">
      <c r="B12" s="14" t="str">
        <f>MonthName&amp;" totaal"</f>
        <v>December totaal</v>
      </c>
      <c r="C12" s="8">
        <f>SUBTOTAL(103,December[1])</f>
        <v>0</v>
      </c>
      <c r="D12" s="8">
        <f>SUBTOTAL(103,December[2])</f>
        <v>0</v>
      </c>
      <c r="E12" s="8">
        <f>SUBTOTAL(103,December[3])</f>
        <v>0</v>
      </c>
      <c r="F12" s="8">
        <f>SUBTOTAL(103,December[4])</f>
        <v>0</v>
      </c>
      <c r="G12" s="8">
        <f>SUBTOTAL(103,December[5])</f>
        <v>0</v>
      </c>
      <c r="H12" s="8">
        <f>SUBTOTAL(103,December[6])</f>
        <v>0</v>
      </c>
      <c r="I12" s="8">
        <f>SUBTOTAL(103,December[7])</f>
        <v>0</v>
      </c>
      <c r="J12" s="8">
        <f>SUBTOTAL(103,December[8])</f>
        <v>0</v>
      </c>
      <c r="K12" s="8">
        <f>SUBTOTAL(103,December[9])</f>
        <v>0</v>
      </c>
      <c r="L12" s="8">
        <f>SUBTOTAL(103,December[10])</f>
        <v>0</v>
      </c>
      <c r="M12" s="8">
        <f>SUBTOTAL(103,December[11])</f>
        <v>0</v>
      </c>
      <c r="N12" s="8">
        <f>SUBTOTAL(103,December[12])</f>
        <v>0</v>
      </c>
      <c r="O12" s="8">
        <f>SUBTOTAL(103,December[13])</f>
        <v>0</v>
      </c>
      <c r="P12" s="8">
        <f>SUBTOTAL(103,December[14])</f>
        <v>0</v>
      </c>
      <c r="Q12" s="8">
        <f>SUBTOTAL(103,December[15])</f>
        <v>0</v>
      </c>
      <c r="R12" s="8">
        <f>SUBTOTAL(103,December[16])</f>
        <v>0</v>
      </c>
      <c r="S12" s="8">
        <f>SUBTOTAL(103,December[17])</f>
        <v>0</v>
      </c>
      <c r="T12" s="8">
        <f>SUBTOTAL(103,December[18])</f>
        <v>0</v>
      </c>
      <c r="U12" s="8">
        <f>SUBTOTAL(103,December[19])</f>
        <v>0</v>
      </c>
      <c r="V12" s="8">
        <f>SUBTOTAL(103,December[20])</f>
        <v>0</v>
      </c>
      <c r="W12" s="8">
        <f>SUBTOTAL(103,December[21])</f>
        <v>0</v>
      </c>
      <c r="X12" s="8">
        <f>SUBTOTAL(103,December[22])</f>
        <v>0</v>
      </c>
      <c r="Y12" s="8">
        <f>SUBTOTAL(103,December[23])</f>
        <v>0</v>
      </c>
      <c r="Z12" s="8">
        <f>SUBTOTAL(103,December[24])</f>
        <v>0</v>
      </c>
      <c r="AA12" s="8">
        <f>SUBTOTAL(103,December[25])</f>
        <v>0</v>
      </c>
      <c r="AB12" s="8">
        <f>SUBTOTAL(103,December[26])</f>
        <v>0</v>
      </c>
      <c r="AC12" s="8">
        <f>SUBTOTAL(103,December[27])</f>
        <v>0</v>
      </c>
      <c r="AD12" s="8">
        <f>SUBTOTAL(103,December[28])</f>
        <v>0</v>
      </c>
      <c r="AE12" s="8">
        <f>SUBTOTAL(103,December[29])</f>
        <v>0</v>
      </c>
      <c r="AF12" s="8">
        <f>SUBTOTAL(109,December[30])</f>
        <v>0</v>
      </c>
      <c r="AG12" s="8">
        <f>SUBTOTAL(109,December[31])</f>
        <v>0</v>
      </c>
      <c r="AH12" s="8">
        <f>SUBTOTAL(109,December[Totaal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85" priority="14" stopIfTrue="1">
      <formula>C7=KeyCustom2</formula>
    </cfRule>
    <cfRule type="expression" dxfId="84" priority="15" stopIfTrue="1">
      <formula>C7=KeyCustom1</formula>
    </cfRule>
    <cfRule type="expression" dxfId="83" priority="16" stopIfTrue="1">
      <formula>C7=KeySick</formula>
    </cfRule>
    <cfRule type="expression" dxfId="82" priority="17" stopIfTrue="1">
      <formula>C7=KeyPersonal</formula>
    </cfRule>
    <cfRule type="expression" dxfId="81" priority="18" stopIfTrue="1">
      <formula>C7=KeyVacation</formula>
    </cfRule>
  </conditionalFormatting>
  <conditionalFormatting sqref="AH7:AH11">
    <cfRule type="dataBar" priority="42">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conditionalFormatting sqref="C2">
    <cfRule type="containsText" dxfId="80" priority="2" operator="containsText" text="V">
      <formula>NOT(ISERROR(SEARCH("V",C2)))</formula>
    </cfRule>
    <cfRule type="containsText" dxfId="79" priority="3" operator="containsText" text="V">
      <formula>NOT(ISERROR(SEARCH("V",C2)))</formula>
    </cfRule>
    <cfRule type="containsText" dxfId="78" priority="9" operator="containsText" text="V">
      <formula>NOT(ISERROR(SEARCH("V",C2)))</formula>
    </cfRule>
    <cfRule type="containsText" dxfId="77" priority="10" operator="containsText" text="V">
      <formula>NOT(ISERROR(SEARCH("V",C2)))</formula>
    </cfRule>
    <cfRule type="containsText" dxfId="76" priority="11" operator="containsText" text="V">
      <formula>NOT(ISERROR(SEARCH("V",C2)))</formula>
    </cfRule>
    <cfRule type="containsText" dxfId="75" priority="12" operator="containsText" text="V">
      <formula>NOT(ISERROR(SEARCH("V",C2)))</formula>
    </cfRule>
  </conditionalFormatting>
  <conditionalFormatting sqref="F2">
    <cfRule type="containsText" dxfId="74" priority="5" operator="containsText" text="e">
      <formula>NOT(ISERROR(SEARCH("e",F2)))</formula>
    </cfRule>
    <cfRule type="cellIs" dxfId="73" priority="6" operator="equal">
      <formula>42767</formula>
    </cfRule>
    <cfRule type="containsText" dxfId="72" priority="7" operator="containsText" text="1/2">
      <formula>NOT(ISERROR(SEARCH("1/2",F2)))</formula>
    </cfRule>
    <cfRule type="containsText" dxfId="71" priority="8" operator="containsText" text="R">
      <formula>NOT(ISERROR(SEARCH("R",F2)))</formula>
    </cfRule>
  </conditionalFormatting>
  <conditionalFormatting sqref="K2">
    <cfRule type="containsText" dxfId="70" priority="1" operator="containsText" text="Z">
      <formula>NOT(ISERROR(SEARCH("Z",K2)))</formula>
    </cfRule>
    <cfRule type="containsText" dxfId="69" priority="4" operator="containsText" text="Z">
      <formula>NOT(ISERROR(SEARCH("Z",K2)))</formula>
    </cfRule>
  </conditionalFormatting>
  <dataValidations count="14">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december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1"/>
    <pageSetUpPr fitToPage="1"/>
  </sheetPr>
  <dimension ref="B1:B8"/>
  <sheetViews>
    <sheetView showGridLines="0" workbookViewId="0">
      <selection activeCell="D15" sqref="D15"/>
    </sheetView>
  </sheetViews>
  <sheetFormatPr defaultRowHeight="30" customHeight="1" x14ac:dyDescent="0.25"/>
  <cols>
    <col min="1" max="1" width="2.7109375" customWidth="1"/>
    <col min="2" max="2" width="30.7109375" customWidth="1"/>
    <col min="3" max="3" width="2.7109375" customWidth="1"/>
  </cols>
  <sheetData>
    <row r="1" spans="2:2" ht="50.1" customHeight="1" x14ac:dyDescent="0.25">
      <c r="B1" s="15" t="s">
        <v>51</v>
      </c>
    </row>
    <row r="2" spans="2:2" ht="15" customHeight="1" x14ac:dyDescent="0.25"/>
    <row r="3" spans="2:2" ht="30" customHeight="1" x14ac:dyDescent="0.25">
      <c r="B3" t="s">
        <v>51</v>
      </c>
    </row>
    <row r="4" spans="2:2" ht="30" customHeight="1" x14ac:dyDescent="0.25">
      <c r="B4" s="16" t="s">
        <v>54</v>
      </c>
    </row>
    <row r="5" spans="2:2" ht="30" customHeight="1" x14ac:dyDescent="0.25">
      <c r="B5" s="16" t="s">
        <v>55</v>
      </c>
    </row>
    <row r="6" spans="2:2" ht="30" customHeight="1" x14ac:dyDescent="0.25">
      <c r="B6" s="16" t="s">
        <v>56</v>
      </c>
    </row>
    <row r="7" spans="2:2" ht="30" customHeight="1" x14ac:dyDescent="0.25">
      <c r="B7" s="16" t="s">
        <v>57</v>
      </c>
    </row>
    <row r="8" spans="2:2" ht="30" customHeight="1" x14ac:dyDescent="0.25">
      <c r="B8" s="16" t="s">
        <v>58</v>
      </c>
    </row>
  </sheetData>
  <dataValidations count="3">
    <dataValidation allowBlank="1" showInputMessage="1" showErrorMessage="1" prompt="Titel                                                                   werknemersnamen_x000a_              _x000a__x000a_           _x000a_                _x000a_                                                                     " sqref="B1"/>
    <dataValidation allowBlank="1" showInputMessage="1" showErrorMessage="1" prompt="Voer de namen van werknemers in de werknemerstabel in dit werkblad in. Deze namen worden gebruikt als optie in kolom B van de afwezigheidstabel van elke maand" sqref="A1"/>
    <dataValidation allowBlank="1" showInputMessage="1" showErrorMessage="1" prompt="Voer de werknemersnamen         in deze kolom in               _x000a_                                                        _x000a__x000a_" sqref="B3"/>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2" tint="-0.749992370372631"/>
    <pageSetUpPr fitToPage="1"/>
  </sheetPr>
  <dimension ref="A1:AH11"/>
  <sheetViews>
    <sheetView showGridLines="0" zoomScaleNormal="100" workbookViewId="0">
      <selection activeCell="AD5" sqref="AD5"/>
    </sheetView>
  </sheetViews>
  <sheetFormatPr defaultColWidth="9.140625"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row>
    <row r="4" spans="2:34" ht="30" customHeight="1" x14ac:dyDescent="0.25">
      <c r="B4" s="7" t="s">
        <v>40</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TEXT(WEEKDAY(DATE(CalendarYear,2,1),1),"aaa")</f>
        <v>wo</v>
      </c>
      <c r="D5" s="1" t="str">
        <f>TEXT(WEEKDAY(DATE(CalendarYear,2,2),1),"aaa")</f>
        <v>do</v>
      </c>
      <c r="E5" s="1" t="str">
        <f>TEXT(WEEKDAY(DATE(CalendarYear,2,3),1),"aaa")</f>
        <v>vr</v>
      </c>
      <c r="F5" s="1" t="str">
        <f>TEXT(WEEKDAY(DATE(CalendarYear,2,4),1),"aaa")</f>
        <v>za</v>
      </c>
      <c r="G5" s="1" t="str">
        <f>TEXT(WEEKDAY(DATE(CalendarYear,2,5),1),"aaa")</f>
        <v>zo</v>
      </c>
      <c r="H5" s="1" t="str">
        <f>TEXT(WEEKDAY(DATE(CalendarYear,2,6),1),"aaa")</f>
        <v>ma</v>
      </c>
      <c r="I5" s="1" t="str">
        <f>TEXT(WEEKDAY(DATE(CalendarYear,2,7),1),"aaa")</f>
        <v>di</v>
      </c>
      <c r="J5" s="1" t="str">
        <f>TEXT(WEEKDAY(DATE(CalendarYear,2,8),1),"aaa")</f>
        <v>wo</v>
      </c>
      <c r="K5" s="1" t="str">
        <f>TEXT(WEEKDAY(DATE(CalendarYear,2,9),1),"aaa")</f>
        <v>do</v>
      </c>
      <c r="L5" s="1" t="str">
        <f>TEXT(WEEKDAY(DATE(CalendarYear,2,10),1),"aaa")</f>
        <v>vr</v>
      </c>
      <c r="M5" s="1" t="str">
        <f>TEXT(WEEKDAY(DATE(CalendarYear,2,11),1),"aaa")</f>
        <v>za</v>
      </c>
      <c r="N5" s="1" t="str">
        <f>TEXT(WEEKDAY(DATE(CalendarYear,2,12),1),"aaa")</f>
        <v>zo</v>
      </c>
      <c r="O5" s="1" t="str">
        <f>TEXT(WEEKDAY(DATE(CalendarYear,2,13),1),"aaa")</f>
        <v>ma</v>
      </c>
      <c r="P5" s="1" t="str">
        <f>TEXT(WEEKDAY(DATE(CalendarYear,2,14),1),"aaa")</f>
        <v>di</v>
      </c>
      <c r="Q5" s="1" t="str">
        <f>TEXT(WEEKDAY(DATE(CalendarYear,2,15),1),"aaa")</f>
        <v>wo</v>
      </c>
      <c r="R5" s="1" t="str">
        <f>TEXT(WEEKDAY(DATE(CalendarYear,2,16),1),"aaa")</f>
        <v>do</v>
      </c>
      <c r="S5" s="1" t="str">
        <f>TEXT(WEEKDAY(DATE(CalendarYear,2,17),1),"aaa")</f>
        <v>vr</v>
      </c>
      <c r="T5" s="1" t="str">
        <f>TEXT(WEEKDAY(DATE(CalendarYear,2,18),1),"aaa")</f>
        <v>za</v>
      </c>
      <c r="U5" s="1" t="str">
        <f>TEXT(WEEKDAY(DATE(CalendarYear,2,19),1),"aaa")</f>
        <v>zo</v>
      </c>
      <c r="V5" s="1" t="str">
        <f>TEXT(WEEKDAY(DATE(CalendarYear,2,20),1),"aaa")</f>
        <v>ma</v>
      </c>
      <c r="W5" s="1" t="str">
        <f>TEXT(WEEKDAY(DATE(CalendarYear,2,21),1),"aaa")</f>
        <v>di</v>
      </c>
      <c r="X5" s="1" t="str">
        <f>TEXT(WEEKDAY(DATE(CalendarYear,2,22),1),"aaa")</f>
        <v>wo</v>
      </c>
      <c r="Y5" s="1" t="str">
        <f>TEXT(WEEKDAY(DATE(CalendarYear,2,23),1),"aaa")</f>
        <v>do</v>
      </c>
      <c r="Z5" s="1" t="str">
        <f>TEXT(WEEKDAY(DATE(CalendarYear,2,24),1),"aaa")</f>
        <v>vr</v>
      </c>
      <c r="AA5" s="1" t="str">
        <f>TEXT(WEEKDAY(DATE(CalendarYear,2,25),1),"aaa")</f>
        <v>za</v>
      </c>
      <c r="AB5" s="1" t="str">
        <f>TEXT(WEEKDAY(DATE(CalendarYear,2,26),1),"aaa")</f>
        <v>zo</v>
      </c>
      <c r="AC5" s="1" t="str">
        <f>TEXT(WEEKDAY(DATE(CalendarYear,2,27),1),"aaa")</f>
        <v>ma</v>
      </c>
      <c r="AD5" s="1" t="str">
        <f>TEXT(WEEKDAY(DATE(CalendarYear,2,28),1),"aaa")</f>
        <v>di</v>
      </c>
      <c r="AE5" s="1" t="str">
        <f>TEXT(WEEKDAY(DATE(CalendarYear,2,29),1),"aaa")</f>
        <v>wo</v>
      </c>
      <c r="AF5" s="1"/>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41</v>
      </c>
      <c r="AG6" s="2" t="s">
        <v>42</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COUNTA(Februari[[#This Row],[1]:[29]])</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COUNTA(Februari[[#This Row],[1]:[29]])</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COUNTA(Februari[[#This Row],[1]:[29]])</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COUNTA(Februari[[#This Row],[1]:[29]])</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COUNTA(Februari[[#This Row],[1]:[29]])</f>
        <v>0</v>
      </c>
    </row>
  </sheetData>
  <mergeCells count="4">
    <mergeCell ref="C4:AG4"/>
    <mergeCell ref="D2:E2"/>
    <mergeCell ref="G2:J2"/>
    <mergeCell ref="R2:U2"/>
  </mergeCells>
  <conditionalFormatting sqref="AE6">
    <cfRule type="expression" dxfId="947" priority="28">
      <formula>MONTH(DATE(CalendarYear,2,29))&lt;&gt;2</formula>
    </cfRule>
  </conditionalFormatting>
  <conditionalFormatting sqref="AE5">
    <cfRule type="expression" dxfId="946" priority="27">
      <formula>MONTH(DATE(CalendarYear,2,29))&lt;&gt;2</formula>
    </cfRule>
  </conditionalFormatting>
  <conditionalFormatting sqref="C7:AG11">
    <cfRule type="expression" priority="14" stopIfTrue="1">
      <formula>C7=""</formula>
    </cfRule>
    <cfRule type="expression" dxfId="945" priority="15" stopIfTrue="1">
      <formula>C7=KeyCustom2</formula>
    </cfRule>
  </conditionalFormatting>
  <conditionalFormatting sqref="C7:AG11">
    <cfRule type="expression" dxfId="944" priority="17" stopIfTrue="1">
      <formula>C7=KeyCustom1</formula>
    </cfRule>
    <cfRule type="expression" dxfId="943" priority="18" stopIfTrue="1">
      <formula>C7=KeySick</formula>
    </cfRule>
    <cfRule type="expression" dxfId="942" priority="19" stopIfTrue="1">
      <formula>C7=KeyPersonal</formula>
    </cfRule>
    <cfRule type="expression" dxfId="941" priority="20" stopIfTrue="1">
      <formula>C7=KeyVacation</formula>
    </cfRule>
  </conditionalFormatting>
  <conditionalFormatting sqref="AH7:AH11">
    <cfRule type="dataBar" priority="165">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conditionalFormatting sqref="C2">
    <cfRule type="containsText" dxfId="940" priority="2" operator="containsText" text="V">
      <formula>NOT(ISERROR(SEARCH("V",C2)))</formula>
    </cfRule>
    <cfRule type="containsText" dxfId="939" priority="3" operator="containsText" text="V">
      <formula>NOT(ISERROR(SEARCH("V",C2)))</formula>
    </cfRule>
    <cfRule type="containsText" dxfId="938" priority="9" operator="containsText" text="V">
      <formula>NOT(ISERROR(SEARCH("V",C2)))</formula>
    </cfRule>
    <cfRule type="containsText" dxfId="937" priority="10" operator="containsText" text="V">
      <formula>NOT(ISERROR(SEARCH("V",C2)))</formula>
    </cfRule>
    <cfRule type="containsText" dxfId="936" priority="11" operator="containsText" text="V">
      <formula>NOT(ISERROR(SEARCH("V",C2)))</formula>
    </cfRule>
    <cfRule type="containsText" dxfId="935" priority="12" operator="containsText" text="V">
      <formula>NOT(ISERROR(SEARCH("V",C2)))</formula>
    </cfRule>
  </conditionalFormatting>
  <conditionalFormatting sqref="F2">
    <cfRule type="containsText" dxfId="934" priority="5" operator="containsText" text="e">
      <formula>NOT(ISERROR(SEARCH("e",F2)))</formula>
    </cfRule>
    <cfRule type="cellIs" dxfId="933" priority="6" operator="equal">
      <formula>42767</formula>
    </cfRule>
    <cfRule type="containsText" dxfId="932" priority="7" operator="containsText" text="1/2">
      <formula>NOT(ISERROR(SEARCH("1/2",F2)))</formula>
    </cfRule>
    <cfRule type="containsText" dxfId="931" priority="8" operator="containsText" text="R">
      <formula>NOT(ISERROR(SEARCH("R",F2)))</formula>
    </cfRule>
  </conditionalFormatting>
  <conditionalFormatting sqref="K2">
    <cfRule type="containsText" dxfId="930" priority="1" operator="containsText" text="Z">
      <formula>NOT(ISERROR(SEARCH("Z",K2)))</formula>
    </cfRule>
    <cfRule type="containsText" dxfId="929" priority="4" operator="containsText" text="Z">
      <formula>NOT(ISERROR(SEARCH("Z",K2)))</formula>
    </cfRule>
  </conditionalFormatting>
  <dataValidations xWindow="232" yWindow="365" count="14">
    <dataValidation allowBlank="1" showInputMessage="1" showErrorMessage="1" prompt="Automatisch bijgewerkt jaar op basis van het jaar dat in het werkblad januari is ingevoerd" sqref="AH4"/>
    <dataValidation allowBlank="1" showInputMessage="1" showErrorMessage="1" prompt="Houd de afwezigheid in februari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De automatisch bijgewerkte titel is in deze cel opgenomen. Als u de titel wilt wijzigen, werk dan B1 in het januari-werkblad bij" sqref="B1"/>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xWindow="232" yWindow="365" count="1">
        <x14:dataValidation type="list" allowBlank="1" showInputMessage="1" showErrorMessage="1">
          <x14:formula1>
            <xm:f>Werknemersnamen!$B$4:$B$8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2" tint="-0.499984740745262"/>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43</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TEXT(WEEKDAY(DATE(CalendarYear,3,1),1),"aaa")</f>
        <v>wo</v>
      </c>
      <c r="D5" s="1" t="str">
        <f>TEXT(WEEKDAY(DATE(CalendarYear,3,2),1),"aaa")</f>
        <v>do</v>
      </c>
      <c r="E5" s="1" t="str">
        <f>TEXT(WEEKDAY(DATE(CalendarYear,3,3),1),"aaa")</f>
        <v>vr</v>
      </c>
      <c r="F5" s="1" t="str">
        <f>TEXT(WEEKDAY(DATE(CalendarYear,3,4),1),"aaa")</f>
        <v>za</v>
      </c>
      <c r="G5" s="1" t="str">
        <f>TEXT(WEEKDAY(DATE(CalendarYear,3,5),1),"aaa")</f>
        <v>zo</v>
      </c>
      <c r="H5" s="1" t="str">
        <f>TEXT(WEEKDAY(DATE(CalendarYear,3,6),1),"aaa")</f>
        <v>ma</v>
      </c>
      <c r="I5" s="1" t="str">
        <f>TEXT(WEEKDAY(DATE(CalendarYear,3,7),1),"aaa")</f>
        <v>di</v>
      </c>
      <c r="J5" s="1" t="str">
        <f>TEXT(WEEKDAY(DATE(CalendarYear,3,8),1),"aaa")</f>
        <v>wo</v>
      </c>
      <c r="K5" s="1" t="str">
        <f>TEXT(WEEKDAY(DATE(CalendarYear,3,9),1),"aaa")</f>
        <v>do</v>
      </c>
      <c r="L5" s="1" t="str">
        <f>TEXT(WEEKDAY(DATE(CalendarYear,3,10),1),"aaa")</f>
        <v>vr</v>
      </c>
      <c r="M5" s="1" t="str">
        <f>TEXT(WEEKDAY(DATE(CalendarYear,3,11),1),"aaa")</f>
        <v>za</v>
      </c>
      <c r="N5" s="1" t="str">
        <f>TEXT(WEEKDAY(DATE(CalendarYear,3,12),1),"aaa")</f>
        <v>zo</v>
      </c>
      <c r="O5" s="1" t="str">
        <f>TEXT(WEEKDAY(DATE(CalendarYear,3,13),1),"aaa")</f>
        <v>ma</v>
      </c>
      <c r="P5" s="1" t="str">
        <f>TEXT(WEEKDAY(DATE(CalendarYear,3,14),1),"aaa")</f>
        <v>di</v>
      </c>
      <c r="Q5" s="1" t="str">
        <f>TEXT(WEEKDAY(DATE(CalendarYear,3,15),1),"aaa")</f>
        <v>wo</v>
      </c>
      <c r="R5" s="1" t="str">
        <f>TEXT(WEEKDAY(DATE(CalendarYear,3,16),1),"aaa")</f>
        <v>do</v>
      </c>
      <c r="S5" s="1" t="str">
        <f>TEXT(WEEKDAY(DATE(CalendarYear,3,17),1),"aaa")</f>
        <v>vr</v>
      </c>
      <c r="T5" s="1" t="str">
        <f>TEXT(WEEKDAY(DATE(CalendarYear,3,18),1),"aaa")</f>
        <v>za</v>
      </c>
      <c r="U5" s="1" t="str">
        <f>TEXT(WEEKDAY(DATE(CalendarYear,3,19),1),"aaa")</f>
        <v>zo</v>
      </c>
      <c r="V5" s="1" t="str">
        <f>TEXT(WEEKDAY(DATE(CalendarYear,3,20),1),"aaa")</f>
        <v>ma</v>
      </c>
      <c r="W5" s="1" t="str">
        <f>TEXT(WEEKDAY(DATE(CalendarYear,3,21),1),"aaa")</f>
        <v>di</v>
      </c>
      <c r="X5" s="1" t="str">
        <f>TEXT(WEEKDAY(DATE(CalendarYear,3,22),1),"aaa")</f>
        <v>wo</v>
      </c>
      <c r="Y5" s="1" t="str">
        <f>TEXT(WEEKDAY(DATE(CalendarYear,3,23),1),"aaa")</f>
        <v>do</v>
      </c>
      <c r="Z5" s="1" t="str">
        <f>TEXT(WEEKDAY(DATE(CalendarYear,3,24),1),"aaa")</f>
        <v>vr</v>
      </c>
      <c r="AA5" s="1" t="str">
        <f>TEXT(WEEKDAY(DATE(CalendarYear,3,25),1),"aaa")</f>
        <v>za</v>
      </c>
      <c r="AB5" s="1" t="str">
        <f>TEXT(WEEKDAY(DATE(CalendarYear,3,26),1),"aaa")</f>
        <v>zo</v>
      </c>
      <c r="AC5" s="1" t="str">
        <f>TEXT(WEEKDAY(DATE(CalendarYear,3,27),1),"aaa")</f>
        <v>ma</v>
      </c>
      <c r="AD5" s="1" t="str">
        <f>TEXT(WEEKDAY(DATE(CalendarYear,3,28),1),"aaa")</f>
        <v>di</v>
      </c>
      <c r="AE5" s="1" t="str">
        <f>TEXT(WEEKDAY(DATE(CalendarYear,3,29),1),"aaa")</f>
        <v>wo</v>
      </c>
      <c r="AF5" s="1" t="str">
        <f>TEXT(WEEKDAY(DATE(CalendarYear,3,30),1),"aaa")</f>
        <v>do</v>
      </c>
      <c r="AG5" s="1" t="str">
        <f>TEXT(WEEKDAY(DATE(CalendarYear,3,31),1),"aaa")</f>
        <v>vr</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COUNTA(Maart[[#This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COUNTA(Maart[[#This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COUNTA(Maart[[#This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COUNTA(Maart[[#This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COUNTA(Maart[[#This Row],[1]:[31]])</f>
        <v>0</v>
      </c>
    </row>
    <row r="12" spans="2:34" ht="30" customHeight="1" x14ac:dyDescent="0.25">
      <c r="B12" s="14" t="str">
        <f>MonthName&amp;" totaal"</f>
        <v>Maart totaal</v>
      </c>
      <c r="C12" s="8">
        <f>SUBTOTAL(103,Maart[1])</f>
        <v>0</v>
      </c>
      <c r="D12" s="8">
        <f>SUBTOTAL(103,Maart[2])</f>
        <v>0</v>
      </c>
      <c r="E12" s="8">
        <f>SUBTOTAL(103,Maart[3])</f>
        <v>0</v>
      </c>
      <c r="F12" s="8">
        <f>SUBTOTAL(103,Maart[4])</f>
        <v>0</v>
      </c>
      <c r="G12" s="8">
        <f>SUBTOTAL(103,Maart[5])</f>
        <v>0</v>
      </c>
      <c r="H12" s="8">
        <f>SUBTOTAL(103,Maart[6])</f>
        <v>0</v>
      </c>
      <c r="I12" s="8">
        <f>SUBTOTAL(103,Maart[7])</f>
        <v>0</v>
      </c>
      <c r="J12" s="8">
        <f>SUBTOTAL(103,Maart[8])</f>
        <v>0</v>
      </c>
      <c r="K12" s="8">
        <f>SUBTOTAL(103,Maart[9])</f>
        <v>0</v>
      </c>
      <c r="L12" s="8">
        <f>SUBTOTAL(103,Maart[10])</f>
        <v>0</v>
      </c>
      <c r="M12" s="8">
        <f>SUBTOTAL(103,Maart[11])</f>
        <v>0</v>
      </c>
      <c r="N12" s="8">
        <f>SUBTOTAL(103,Maart[12])</f>
        <v>0</v>
      </c>
      <c r="O12" s="8">
        <f>SUBTOTAL(103,Maart[13])</f>
        <v>0</v>
      </c>
      <c r="P12" s="8">
        <f>SUBTOTAL(103,Maart[14])</f>
        <v>0</v>
      </c>
      <c r="Q12" s="8">
        <f>SUBTOTAL(103,Maart[15])</f>
        <v>0</v>
      </c>
      <c r="R12" s="8">
        <f>SUBTOTAL(103,Maart[16])</f>
        <v>0</v>
      </c>
      <c r="S12" s="8">
        <f>SUBTOTAL(103,Maart[17])</f>
        <v>0</v>
      </c>
      <c r="T12" s="8">
        <f>SUBTOTAL(103,Maart[18])</f>
        <v>0</v>
      </c>
      <c r="U12" s="8">
        <f>SUBTOTAL(103,Maart[19])</f>
        <v>0</v>
      </c>
      <c r="V12" s="8">
        <f>SUBTOTAL(103,Maart[20])</f>
        <v>0</v>
      </c>
      <c r="W12" s="8">
        <f>SUBTOTAL(103,Maart[21])</f>
        <v>0</v>
      </c>
      <c r="X12" s="8">
        <f>SUBTOTAL(103,Maart[22])</f>
        <v>0</v>
      </c>
      <c r="Y12" s="8">
        <f>SUBTOTAL(103,Maart[23])</f>
        <v>0</v>
      </c>
      <c r="Z12" s="8">
        <f>SUBTOTAL(103,Maart[24])</f>
        <v>0</v>
      </c>
      <c r="AA12" s="8">
        <f>SUBTOTAL(103,Maart[25])</f>
        <v>0</v>
      </c>
      <c r="AB12" s="8">
        <f>SUBTOTAL(103,Maart[26])</f>
        <v>0</v>
      </c>
      <c r="AC12" s="8">
        <f>SUBTOTAL(103,Maart[27])</f>
        <v>0</v>
      </c>
      <c r="AD12" s="8">
        <f>SUBTOTAL(103,Maart[28])</f>
        <v>0</v>
      </c>
      <c r="AE12" s="8">
        <f>SUBTOTAL(103,Maart[29])</f>
        <v>0</v>
      </c>
      <c r="AF12" s="8">
        <f>SUBTOTAL(109,Maart[30])</f>
        <v>0</v>
      </c>
      <c r="AG12" s="8">
        <f>SUBTOTAL(109,Maart[31])</f>
        <v>0</v>
      </c>
      <c r="AH12" s="8">
        <f>SUBTOTAL(109,Maart[Totaal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859" priority="14" stopIfTrue="1">
      <formula>C7=KeyCustom2</formula>
    </cfRule>
    <cfRule type="expression" dxfId="858" priority="15" stopIfTrue="1">
      <formula>C7=KeyCustom1</formula>
    </cfRule>
    <cfRule type="expression" dxfId="857" priority="16" stopIfTrue="1">
      <formula>C7=KeySick</formula>
    </cfRule>
    <cfRule type="expression" dxfId="856" priority="17" stopIfTrue="1">
      <formula>C7=KeyPersonal</formula>
    </cfRule>
    <cfRule type="expression" dxfId="855"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{7C2B6C3E-666E-4369-8C57-FD32A7D03A3C}</x14:id>
        </ext>
      </extLst>
    </cfRule>
  </conditionalFormatting>
  <conditionalFormatting sqref="C2">
    <cfRule type="containsText" dxfId="854" priority="2" operator="containsText" text="V">
      <formula>NOT(ISERROR(SEARCH("V",C2)))</formula>
    </cfRule>
    <cfRule type="containsText" dxfId="853" priority="3" operator="containsText" text="V">
      <formula>NOT(ISERROR(SEARCH("V",C2)))</formula>
    </cfRule>
    <cfRule type="containsText" dxfId="852" priority="9" operator="containsText" text="V">
      <formula>NOT(ISERROR(SEARCH("V",C2)))</formula>
    </cfRule>
    <cfRule type="containsText" dxfId="851" priority="10" operator="containsText" text="V">
      <formula>NOT(ISERROR(SEARCH("V",C2)))</formula>
    </cfRule>
    <cfRule type="containsText" dxfId="850" priority="11" operator="containsText" text="V">
      <formula>NOT(ISERROR(SEARCH("V",C2)))</formula>
    </cfRule>
    <cfRule type="containsText" dxfId="849" priority="12" operator="containsText" text="V">
      <formula>NOT(ISERROR(SEARCH("V",C2)))</formula>
    </cfRule>
  </conditionalFormatting>
  <conditionalFormatting sqref="F2">
    <cfRule type="containsText" dxfId="848" priority="5" operator="containsText" text="e">
      <formula>NOT(ISERROR(SEARCH("e",F2)))</formula>
    </cfRule>
    <cfRule type="cellIs" dxfId="847" priority="6" operator="equal">
      <formula>42767</formula>
    </cfRule>
    <cfRule type="containsText" dxfId="846" priority="7" operator="containsText" text="1/2">
      <formula>NOT(ISERROR(SEARCH("1/2",F2)))</formula>
    </cfRule>
    <cfRule type="containsText" dxfId="845" priority="8" operator="containsText" text="R">
      <formula>NOT(ISERROR(SEARCH("R",F2)))</formula>
    </cfRule>
  </conditionalFormatting>
  <conditionalFormatting sqref="K2">
    <cfRule type="containsText" dxfId="844" priority="1" operator="containsText" text="Z">
      <formula>NOT(ISERROR(SEARCH("Z",K2)))</formula>
    </cfRule>
    <cfRule type="containsText" dxfId="843"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maart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theme="2" tint="-0.249977111117893"/>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44</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TEXT(WEEKDAY(DATE(CalendarYear,4,1),1),"aaa")</f>
        <v>za</v>
      </c>
      <c r="D5" s="1" t="str">
        <f>TEXT(WEEKDAY(DATE(CalendarYear,4,2),1),"aaa")</f>
        <v>zo</v>
      </c>
      <c r="E5" s="1" t="str">
        <f>TEXT(WEEKDAY(DATE(CalendarYear,4,3),1),"aaa")</f>
        <v>ma</v>
      </c>
      <c r="F5" s="1" t="str">
        <f>TEXT(WEEKDAY(DATE(CalendarYear,4,4),1),"aaa")</f>
        <v>di</v>
      </c>
      <c r="G5" s="1" t="str">
        <f>TEXT(WEEKDAY(DATE(CalendarYear,4,5),1),"aaa")</f>
        <v>wo</v>
      </c>
      <c r="H5" s="1" t="str">
        <f>TEXT(WEEKDAY(DATE(CalendarYear,4,6),1),"aaa")</f>
        <v>do</v>
      </c>
      <c r="I5" s="1" t="str">
        <f>TEXT(WEEKDAY(DATE(CalendarYear,4,7),1),"aaa")</f>
        <v>vr</v>
      </c>
      <c r="J5" s="1" t="str">
        <f>TEXT(WEEKDAY(DATE(CalendarYear,4,8),1),"aaa")</f>
        <v>za</v>
      </c>
      <c r="K5" s="1" t="str">
        <f>TEXT(WEEKDAY(DATE(CalendarYear,4,9),1),"aaa")</f>
        <v>zo</v>
      </c>
      <c r="L5" s="1" t="str">
        <f>TEXT(WEEKDAY(DATE(CalendarYear,4,10),1),"aaa")</f>
        <v>ma</v>
      </c>
      <c r="M5" s="1" t="str">
        <f>TEXT(WEEKDAY(DATE(CalendarYear,4,11),1),"aaa")</f>
        <v>di</v>
      </c>
      <c r="N5" s="1" t="str">
        <f>TEXT(WEEKDAY(DATE(CalendarYear,4,12),1),"aaa")</f>
        <v>wo</v>
      </c>
      <c r="O5" s="1" t="str">
        <f>TEXT(WEEKDAY(DATE(CalendarYear,4,13),1),"aaa")</f>
        <v>do</v>
      </c>
      <c r="P5" s="1" t="str">
        <f>TEXT(WEEKDAY(DATE(CalendarYear,4,14),1),"aaa")</f>
        <v>vr</v>
      </c>
      <c r="Q5" s="1" t="str">
        <f>TEXT(WEEKDAY(DATE(CalendarYear,4,15),1),"aaa")</f>
        <v>za</v>
      </c>
      <c r="R5" s="1" t="str">
        <f>TEXT(WEEKDAY(DATE(CalendarYear,4,16),1),"aaa")</f>
        <v>zo</v>
      </c>
      <c r="S5" s="1" t="str">
        <f>TEXT(WEEKDAY(DATE(CalendarYear,4,17),1),"aaa")</f>
        <v>ma</v>
      </c>
      <c r="T5" s="1" t="str">
        <f>TEXT(WEEKDAY(DATE(CalendarYear,4,18),1),"aaa")</f>
        <v>di</v>
      </c>
      <c r="U5" s="1" t="str">
        <f>TEXT(WEEKDAY(DATE(CalendarYear,4,19),1),"aaa")</f>
        <v>wo</v>
      </c>
      <c r="V5" s="1" t="str">
        <f>TEXT(WEEKDAY(DATE(CalendarYear,4,20),1),"aaa")</f>
        <v>do</v>
      </c>
      <c r="W5" s="1" t="str">
        <f>TEXT(WEEKDAY(DATE(CalendarYear,4,21),1),"aaa")</f>
        <v>vr</v>
      </c>
      <c r="X5" s="1" t="str">
        <f>TEXT(WEEKDAY(DATE(CalendarYear,4,22),1),"aaa")</f>
        <v>za</v>
      </c>
      <c r="Y5" s="1" t="str">
        <f>TEXT(WEEKDAY(DATE(CalendarYear,4,23),1),"aaa")</f>
        <v>zo</v>
      </c>
      <c r="Z5" s="1" t="str">
        <f>TEXT(WEEKDAY(DATE(CalendarYear,4,24),1),"aaa")</f>
        <v>ma</v>
      </c>
      <c r="AA5" s="1" t="str">
        <f>TEXT(WEEKDAY(DATE(CalendarYear,4,25),1),"aaa")</f>
        <v>di</v>
      </c>
      <c r="AB5" s="1" t="str">
        <f>TEXT(WEEKDAY(DATE(CalendarYear,4,26),1),"aaa")</f>
        <v>wo</v>
      </c>
      <c r="AC5" s="1" t="str">
        <f>TEXT(WEEKDAY(DATE(CalendarYear,4,27),1),"aaa")</f>
        <v>do</v>
      </c>
      <c r="AD5" s="1" t="str">
        <f>TEXT(WEEKDAY(DATE(CalendarYear,4,28),1),"aaa")</f>
        <v>vr</v>
      </c>
      <c r="AE5" s="1" t="str">
        <f>TEXT(WEEKDAY(DATE(CalendarYear,4,29),1),"aaa")</f>
        <v>za</v>
      </c>
      <c r="AF5" s="1" t="str">
        <f>TEXT(WEEKDAY(DATE(CalendarYear,4,30),1),"aaa")</f>
        <v>zo</v>
      </c>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COUNTA(April[[#This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COUNTA(April[[#This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COUNTA(April[[#This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COUNTA(April[[#This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COUNTA(April[[#This Row],[1]:[31]])</f>
        <v>0</v>
      </c>
    </row>
    <row r="12" spans="2:34" ht="30" customHeight="1" x14ac:dyDescent="0.25">
      <c r="B12" s="14" t="str">
        <f>MonthName&amp;" totaal"</f>
        <v>April totaal</v>
      </c>
      <c r="C12" s="8">
        <f>SUBTOTAL(103,April[1])</f>
        <v>0</v>
      </c>
      <c r="D12" s="8">
        <f>SUBTOTAL(103,April[2])</f>
        <v>0</v>
      </c>
      <c r="E12" s="8">
        <f>SUBTOTAL(103,April[3])</f>
        <v>0</v>
      </c>
      <c r="F12" s="8">
        <f>SUBTOTAL(103,April[4])</f>
        <v>0</v>
      </c>
      <c r="G12" s="8">
        <f>SUBTOTAL(103,April[5])</f>
        <v>0</v>
      </c>
      <c r="H12" s="8">
        <f>SUBTOTAL(103,April[6])</f>
        <v>0</v>
      </c>
      <c r="I12" s="8">
        <f>SUBTOTAL(103,April[7])</f>
        <v>0</v>
      </c>
      <c r="J12" s="8">
        <f>SUBTOTAL(103,April[8])</f>
        <v>0</v>
      </c>
      <c r="K12" s="8">
        <f>SUBTOTAL(103,April[9])</f>
        <v>0</v>
      </c>
      <c r="L12" s="8">
        <f>SUBTOTAL(103,April[10])</f>
        <v>0</v>
      </c>
      <c r="M12" s="8">
        <f>SUBTOTAL(103,April[11])</f>
        <v>0</v>
      </c>
      <c r="N12" s="8">
        <f>SUBTOTAL(103,April[12])</f>
        <v>0</v>
      </c>
      <c r="O12" s="8">
        <f>SUBTOTAL(103,April[13])</f>
        <v>0</v>
      </c>
      <c r="P12" s="8">
        <f>SUBTOTAL(103,April[14])</f>
        <v>0</v>
      </c>
      <c r="Q12" s="8">
        <f>SUBTOTAL(103,April[15])</f>
        <v>0</v>
      </c>
      <c r="R12" s="8">
        <f>SUBTOTAL(103,April[16])</f>
        <v>0</v>
      </c>
      <c r="S12" s="8">
        <f>SUBTOTAL(103,April[17])</f>
        <v>0</v>
      </c>
      <c r="T12" s="8">
        <f>SUBTOTAL(103,April[18])</f>
        <v>0</v>
      </c>
      <c r="U12" s="8">
        <f>SUBTOTAL(103,April[19])</f>
        <v>0</v>
      </c>
      <c r="V12" s="8">
        <f>SUBTOTAL(103,April[20])</f>
        <v>0</v>
      </c>
      <c r="W12" s="8">
        <f>SUBTOTAL(103,April[21])</f>
        <v>0</v>
      </c>
      <c r="X12" s="8">
        <f>SUBTOTAL(103,April[22])</f>
        <v>0</v>
      </c>
      <c r="Y12" s="8">
        <f>SUBTOTAL(103,April[23])</f>
        <v>0</v>
      </c>
      <c r="Z12" s="8">
        <f>SUBTOTAL(103,April[24])</f>
        <v>0</v>
      </c>
      <c r="AA12" s="8">
        <f>SUBTOTAL(103,April[25])</f>
        <v>0</v>
      </c>
      <c r="AB12" s="8">
        <f>SUBTOTAL(103,April[26])</f>
        <v>0</v>
      </c>
      <c r="AC12" s="8">
        <f>SUBTOTAL(103,April[27])</f>
        <v>0</v>
      </c>
      <c r="AD12" s="8">
        <f>SUBTOTAL(103,April[28])</f>
        <v>0</v>
      </c>
      <c r="AE12" s="8">
        <f>SUBTOTAL(103,April[29])</f>
        <v>0</v>
      </c>
      <c r="AF12" s="8">
        <f>SUBTOTAL(109,April[30])</f>
        <v>0</v>
      </c>
      <c r="AG12" s="8">
        <f>SUBTOTAL(109,April[31])</f>
        <v>0</v>
      </c>
      <c r="AH12" s="8">
        <f>SUBTOTAL(109,April[Totaal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773" priority="14" stopIfTrue="1">
      <formula>C7=KeyCustom2</formula>
    </cfRule>
    <cfRule type="expression" dxfId="772" priority="15" stopIfTrue="1">
      <formula>C7=KeyCustom1</formula>
    </cfRule>
    <cfRule type="expression" dxfId="771" priority="16" stopIfTrue="1">
      <formula>C7=KeySick</formula>
    </cfRule>
    <cfRule type="expression" dxfId="770" priority="17" stopIfTrue="1">
      <formula>C7=KeyPersonal</formula>
    </cfRule>
    <cfRule type="expression" dxfId="769"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{0C86709F-D813-4066-A3F1-C30F11214F4B}</x14:id>
        </ext>
      </extLst>
    </cfRule>
  </conditionalFormatting>
  <conditionalFormatting sqref="C2">
    <cfRule type="containsText" dxfId="768" priority="2" operator="containsText" text="V">
      <formula>NOT(ISERROR(SEARCH("V",C2)))</formula>
    </cfRule>
    <cfRule type="containsText" dxfId="767" priority="3" operator="containsText" text="V">
      <formula>NOT(ISERROR(SEARCH("V",C2)))</formula>
    </cfRule>
    <cfRule type="containsText" dxfId="766" priority="9" operator="containsText" text="V">
      <formula>NOT(ISERROR(SEARCH("V",C2)))</formula>
    </cfRule>
    <cfRule type="containsText" dxfId="765" priority="10" operator="containsText" text="V">
      <formula>NOT(ISERROR(SEARCH("V",C2)))</formula>
    </cfRule>
    <cfRule type="containsText" dxfId="764" priority="11" operator="containsText" text="V">
      <formula>NOT(ISERROR(SEARCH("V",C2)))</formula>
    </cfRule>
    <cfRule type="containsText" dxfId="763" priority="12" operator="containsText" text="V">
      <formula>NOT(ISERROR(SEARCH("V",C2)))</formula>
    </cfRule>
  </conditionalFormatting>
  <conditionalFormatting sqref="F2">
    <cfRule type="containsText" dxfId="762" priority="5" operator="containsText" text="e">
      <formula>NOT(ISERROR(SEARCH("e",F2)))</formula>
    </cfRule>
    <cfRule type="cellIs" dxfId="761" priority="6" operator="equal">
      <formula>42767</formula>
    </cfRule>
    <cfRule type="containsText" dxfId="760" priority="7" operator="containsText" text="1/2">
      <formula>NOT(ISERROR(SEARCH("1/2",F2)))</formula>
    </cfRule>
    <cfRule type="containsText" dxfId="759" priority="8" operator="containsText" text="R">
      <formula>NOT(ISERROR(SEARCH("R",F2)))</formula>
    </cfRule>
  </conditionalFormatting>
  <conditionalFormatting sqref="K2">
    <cfRule type="containsText" dxfId="758" priority="1" operator="containsText" text="Z">
      <formula>NOT(ISERROR(SEARCH("Z",K2)))</formula>
    </cfRule>
    <cfRule type="containsText" dxfId="757" priority="4" operator="containsText" text="Z">
      <formula>NOT(ISERROR(SEARCH("Z",K2)))</formula>
    </cfRule>
  </conditionalFormatting>
  <dataValidations count="14">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april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theme="2" tint="-9.9978637043366805E-2"/>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52</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TEXT(WEEKDAY(DATE(CalendarYear,5,1),1),"aaa")</f>
        <v>ma</v>
      </c>
      <c r="D5" s="1" t="str">
        <f>TEXT(WEEKDAY(DATE(CalendarYear,5,2),1),"aaa")</f>
        <v>di</v>
      </c>
      <c r="E5" s="1" t="str">
        <f>TEXT(WEEKDAY(DATE(CalendarYear,5,3),1),"aaa")</f>
        <v>wo</v>
      </c>
      <c r="F5" s="1" t="str">
        <f>TEXT(WEEKDAY(DATE(CalendarYear,5,4),1),"aaa")</f>
        <v>do</v>
      </c>
      <c r="G5" s="1" t="str">
        <f>TEXT(WEEKDAY(DATE(CalendarYear,5,5),1),"aaa")</f>
        <v>vr</v>
      </c>
      <c r="H5" s="1" t="str">
        <f>TEXT(WEEKDAY(DATE(CalendarYear,5,6),1),"aaa")</f>
        <v>za</v>
      </c>
      <c r="I5" s="1" t="str">
        <f>TEXT(WEEKDAY(DATE(CalendarYear,5,7),1),"aaa")</f>
        <v>zo</v>
      </c>
      <c r="J5" s="1" t="str">
        <f>TEXT(WEEKDAY(DATE(CalendarYear,5,8),1),"aaa")</f>
        <v>ma</v>
      </c>
      <c r="K5" s="1" t="str">
        <f>TEXT(WEEKDAY(DATE(CalendarYear,5,9),1),"aaa")</f>
        <v>di</v>
      </c>
      <c r="L5" s="1" t="str">
        <f>TEXT(WEEKDAY(DATE(CalendarYear,5,10),1),"aaa")</f>
        <v>wo</v>
      </c>
      <c r="M5" s="1" t="str">
        <f>TEXT(WEEKDAY(DATE(CalendarYear,5,11),1),"aaa")</f>
        <v>do</v>
      </c>
      <c r="N5" s="1" t="str">
        <f>TEXT(WEEKDAY(DATE(CalendarYear,5,12),1),"aaa")</f>
        <v>vr</v>
      </c>
      <c r="O5" s="1" t="str">
        <f>TEXT(WEEKDAY(DATE(CalendarYear,5,13),1),"aaa")</f>
        <v>za</v>
      </c>
      <c r="P5" s="1" t="str">
        <f>TEXT(WEEKDAY(DATE(CalendarYear,5,14),1),"aaa")</f>
        <v>zo</v>
      </c>
      <c r="Q5" s="1" t="str">
        <f>TEXT(WEEKDAY(DATE(CalendarYear,5,15),1),"aaa")</f>
        <v>ma</v>
      </c>
      <c r="R5" s="1" t="str">
        <f>TEXT(WEEKDAY(DATE(CalendarYear,5,16),1),"aaa")</f>
        <v>di</v>
      </c>
      <c r="S5" s="1" t="str">
        <f>TEXT(WEEKDAY(DATE(CalendarYear,5,17),1),"aaa")</f>
        <v>wo</v>
      </c>
      <c r="T5" s="1" t="str">
        <f>TEXT(WEEKDAY(DATE(CalendarYear,5,18),1),"aaa")</f>
        <v>do</v>
      </c>
      <c r="U5" s="1" t="str">
        <f>TEXT(WEEKDAY(DATE(CalendarYear,5,19),1),"aaa")</f>
        <v>vr</v>
      </c>
      <c r="V5" s="1" t="str">
        <f>TEXT(WEEKDAY(DATE(CalendarYear,5,20),1),"aaa")</f>
        <v>za</v>
      </c>
      <c r="W5" s="1" t="str">
        <f>TEXT(WEEKDAY(DATE(CalendarYear,5,21),1),"aaa")</f>
        <v>zo</v>
      </c>
      <c r="X5" s="1" t="str">
        <f>TEXT(WEEKDAY(DATE(CalendarYear,5,22),1),"aaa")</f>
        <v>ma</v>
      </c>
      <c r="Y5" s="1" t="str">
        <f>TEXT(WEEKDAY(DATE(CalendarYear,5,23),1),"aaa")</f>
        <v>di</v>
      </c>
      <c r="Z5" s="1" t="str">
        <f>TEXT(WEEKDAY(DATE(CalendarYear,5,24),1),"aaa")</f>
        <v>wo</v>
      </c>
      <c r="AA5" s="1" t="str">
        <f>TEXT(WEEKDAY(DATE(CalendarYear,5,25),1),"aaa")</f>
        <v>do</v>
      </c>
      <c r="AB5" s="1" t="str">
        <f>TEXT(WEEKDAY(DATE(CalendarYear,5,26),1),"aaa")</f>
        <v>vr</v>
      </c>
      <c r="AC5" s="1" t="str">
        <f>TEXT(WEEKDAY(DATE(CalendarYear,5,27),1),"aaa")</f>
        <v>za</v>
      </c>
      <c r="AD5" s="1" t="str">
        <f>TEXT(WEEKDAY(DATE(CalendarYear,5,28),1),"aaa")</f>
        <v>zo</v>
      </c>
      <c r="AE5" s="1" t="str">
        <f>TEXT(WEEKDAY(DATE(CalendarYear,5,29),1),"aaa")</f>
        <v>ma</v>
      </c>
      <c r="AF5" s="1" t="str">
        <f>TEXT(WEEKDAY(DATE(CalendarYear,5,30),1),"aaa")</f>
        <v>di</v>
      </c>
      <c r="AG5" s="1" t="str">
        <f>TEXT(WEEKDAY(DATE(CalendarYear,5,31),1),"aaa")</f>
        <v>wo</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COUNTA(Mei[[#This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COUNTA(Mei[[#This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COUNTA(Mei[[#This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COUNTA(Mei[[#This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COUNTA(Mei[[#This Row],[1]:[31]])</f>
        <v>0</v>
      </c>
    </row>
    <row r="12" spans="2:34" ht="30" customHeight="1" x14ac:dyDescent="0.25">
      <c r="B12" s="14" t="str">
        <f>MonthName&amp;" totaal"</f>
        <v>Mei totaal</v>
      </c>
      <c r="C12" s="8">
        <f>SUBTOTAL(103,Mei[1])</f>
        <v>0</v>
      </c>
      <c r="D12" s="8">
        <f>SUBTOTAL(103,Mei[2])</f>
        <v>0</v>
      </c>
      <c r="E12" s="8">
        <f>SUBTOTAL(103,Mei[3])</f>
        <v>0</v>
      </c>
      <c r="F12" s="8">
        <f>SUBTOTAL(103,Mei[4])</f>
        <v>0</v>
      </c>
      <c r="G12" s="8">
        <f>SUBTOTAL(103,Mei[5])</f>
        <v>0</v>
      </c>
      <c r="H12" s="8">
        <f>SUBTOTAL(103,Mei[6])</f>
        <v>0</v>
      </c>
      <c r="I12" s="8">
        <f>SUBTOTAL(103,Mei[7])</f>
        <v>0</v>
      </c>
      <c r="J12" s="8">
        <f>SUBTOTAL(103,Mei[8])</f>
        <v>0</v>
      </c>
      <c r="K12" s="8">
        <f>SUBTOTAL(103,Mei[9])</f>
        <v>0</v>
      </c>
      <c r="L12" s="8">
        <f>SUBTOTAL(103,Mei[10])</f>
        <v>0</v>
      </c>
      <c r="M12" s="8">
        <f>SUBTOTAL(103,Mei[11])</f>
        <v>0</v>
      </c>
      <c r="N12" s="8">
        <f>SUBTOTAL(103,Mei[12])</f>
        <v>0</v>
      </c>
      <c r="O12" s="8">
        <f>SUBTOTAL(103,Mei[13])</f>
        <v>0</v>
      </c>
      <c r="P12" s="8">
        <f>SUBTOTAL(103,Mei[14])</f>
        <v>0</v>
      </c>
      <c r="Q12" s="8">
        <f>SUBTOTAL(103,Mei[15])</f>
        <v>0</v>
      </c>
      <c r="R12" s="8">
        <f>SUBTOTAL(103,Mei[16])</f>
        <v>0</v>
      </c>
      <c r="S12" s="8">
        <f>SUBTOTAL(103,Mei[17])</f>
        <v>0</v>
      </c>
      <c r="T12" s="8">
        <f>SUBTOTAL(103,Mei[18])</f>
        <v>0</v>
      </c>
      <c r="U12" s="8">
        <f>SUBTOTAL(103,Mei[19])</f>
        <v>0</v>
      </c>
      <c r="V12" s="8">
        <f>SUBTOTAL(103,Mei[20])</f>
        <v>0</v>
      </c>
      <c r="W12" s="8">
        <f>SUBTOTAL(103,Mei[21])</f>
        <v>0</v>
      </c>
      <c r="X12" s="8">
        <f>SUBTOTAL(103,Mei[22])</f>
        <v>0</v>
      </c>
      <c r="Y12" s="8">
        <f>SUBTOTAL(103,Mei[23])</f>
        <v>0</v>
      </c>
      <c r="Z12" s="8">
        <f>SUBTOTAL(103,Mei[24])</f>
        <v>0</v>
      </c>
      <c r="AA12" s="8">
        <f>SUBTOTAL(103,Mei[25])</f>
        <v>0</v>
      </c>
      <c r="AB12" s="8">
        <f>SUBTOTAL(103,Mei[26])</f>
        <v>0</v>
      </c>
      <c r="AC12" s="8">
        <f>SUBTOTAL(103,Mei[27])</f>
        <v>0</v>
      </c>
      <c r="AD12" s="8">
        <f>SUBTOTAL(103,Mei[28])</f>
        <v>0</v>
      </c>
      <c r="AE12" s="8">
        <f>SUBTOTAL(103,Mei[29])</f>
        <v>0</v>
      </c>
      <c r="AF12" s="8">
        <f>SUBTOTAL(109,Mei[30])</f>
        <v>0</v>
      </c>
      <c r="AG12" s="8">
        <f>SUBTOTAL(109,Mei[31])</f>
        <v>0</v>
      </c>
      <c r="AH12" s="8">
        <f>SUBTOTAL(109,Mei[Totaal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687" priority="14" stopIfTrue="1">
      <formula>C7=KeyCustom2</formula>
    </cfRule>
    <cfRule type="expression" dxfId="686" priority="15" stopIfTrue="1">
      <formula>C7=KeyCustom1</formula>
    </cfRule>
    <cfRule type="expression" dxfId="685" priority="16" stopIfTrue="1">
      <formula>C7=KeySick</formula>
    </cfRule>
    <cfRule type="expression" dxfId="684" priority="17" stopIfTrue="1">
      <formula>C7=KeyPersonal</formula>
    </cfRule>
    <cfRule type="expression" dxfId="683"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{5670947F-8B3C-4A6C-A280-4F5E10811DCE}</x14:id>
        </ext>
      </extLst>
    </cfRule>
  </conditionalFormatting>
  <conditionalFormatting sqref="C2">
    <cfRule type="containsText" dxfId="682" priority="2" operator="containsText" text="V">
      <formula>NOT(ISERROR(SEARCH("V",C2)))</formula>
    </cfRule>
    <cfRule type="containsText" dxfId="681" priority="3" operator="containsText" text="V">
      <formula>NOT(ISERROR(SEARCH("V",C2)))</formula>
    </cfRule>
    <cfRule type="containsText" dxfId="680" priority="9" operator="containsText" text="V">
      <formula>NOT(ISERROR(SEARCH("V",C2)))</formula>
    </cfRule>
    <cfRule type="containsText" dxfId="679" priority="10" operator="containsText" text="V">
      <formula>NOT(ISERROR(SEARCH("V",C2)))</formula>
    </cfRule>
    <cfRule type="containsText" dxfId="678" priority="11" operator="containsText" text="V">
      <formula>NOT(ISERROR(SEARCH("V",C2)))</formula>
    </cfRule>
    <cfRule type="containsText" dxfId="677" priority="12" operator="containsText" text="V">
      <formula>NOT(ISERROR(SEARCH("V",C2)))</formula>
    </cfRule>
  </conditionalFormatting>
  <conditionalFormatting sqref="F2">
    <cfRule type="containsText" dxfId="676" priority="5" operator="containsText" text="e">
      <formula>NOT(ISERROR(SEARCH("e",F2)))</formula>
    </cfRule>
    <cfRule type="cellIs" dxfId="675" priority="6" operator="equal">
      <formula>42767</formula>
    </cfRule>
    <cfRule type="containsText" dxfId="674" priority="7" operator="containsText" text="1/2">
      <formula>NOT(ISERROR(SEARCH("1/2",F2)))</formula>
    </cfRule>
    <cfRule type="containsText" dxfId="673" priority="8" operator="containsText" text="R">
      <formula>NOT(ISERROR(SEARCH("R",F2)))</formula>
    </cfRule>
  </conditionalFormatting>
  <conditionalFormatting sqref="K2">
    <cfRule type="containsText" dxfId="672" priority="1" operator="containsText" text="Z">
      <formula>NOT(ISERROR(SEARCH("Z",K2)))</formula>
    </cfRule>
    <cfRule type="containsText" dxfId="671"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mei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2"/>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45</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TEXT(WEEKDAY(DATE(CalendarYear,6,1),1),"aaa")</f>
        <v>do</v>
      </c>
      <c r="D5" s="1" t="str">
        <f>TEXT(WEEKDAY(DATE(CalendarYear,6,2),1),"aaa")</f>
        <v>vr</v>
      </c>
      <c r="E5" s="1" t="str">
        <f>TEXT(WEEKDAY(DATE(CalendarYear,6,3),1),"aaa")</f>
        <v>za</v>
      </c>
      <c r="F5" s="1" t="str">
        <f>TEXT(WEEKDAY(DATE(CalendarYear,6,4),1),"aaa")</f>
        <v>zo</v>
      </c>
      <c r="G5" s="1" t="str">
        <f>TEXT(WEEKDAY(DATE(CalendarYear,6,5),1),"aaa")</f>
        <v>ma</v>
      </c>
      <c r="H5" s="1" t="str">
        <f>TEXT(WEEKDAY(DATE(CalendarYear,6,6),1),"aaa")</f>
        <v>di</v>
      </c>
      <c r="I5" s="1" t="str">
        <f>TEXT(WEEKDAY(DATE(CalendarYear,6,7),1),"aaa")</f>
        <v>wo</v>
      </c>
      <c r="J5" s="1" t="str">
        <f>TEXT(WEEKDAY(DATE(CalendarYear,6,8),1),"aaa")</f>
        <v>do</v>
      </c>
      <c r="K5" s="1" t="str">
        <f>TEXT(WEEKDAY(DATE(CalendarYear,6,9),1),"aaa")</f>
        <v>vr</v>
      </c>
      <c r="L5" s="1" t="str">
        <f>TEXT(WEEKDAY(DATE(CalendarYear,6,10),1),"aaa")</f>
        <v>za</v>
      </c>
      <c r="M5" s="1" t="str">
        <f>TEXT(WEEKDAY(DATE(CalendarYear,6,11),1),"aaa")</f>
        <v>zo</v>
      </c>
      <c r="N5" s="1" t="str">
        <f>TEXT(WEEKDAY(DATE(CalendarYear,6,12),1),"aaa")</f>
        <v>ma</v>
      </c>
      <c r="O5" s="1" t="str">
        <f>TEXT(WEEKDAY(DATE(CalendarYear,6,13),1),"aaa")</f>
        <v>di</v>
      </c>
      <c r="P5" s="1" t="str">
        <f>TEXT(WEEKDAY(DATE(CalendarYear,6,14),1),"aaa")</f>
        <v>wo</v>
      </c>
      <c r="Q5" s="1" t="str">
        <f>TEXT(WEEKDAY(DATE(CalendarYear,6,15),1),"aaa")</f>
        <v>do</v>
      </c>
      <c r="R5" s="1" t="str">
        <f>TEXT(WEEKDAY(DATE(CalendarYear,6,16),1),"aaa")</f>
        <v>vr</v>
      </c>
      <c r="S5" s="1" t="str">
        <f>TEXT(WEEKDAY(DATE(CalendarYear,6,17),1),"aaa")</f>
        <v>za</v>
      </c>
      <c r="T5" s="1" t="str">
        <f>TEXT(WEEKDAY(DATE(CalendarYear,6,18),1),"aaa")</f>
        <v>zo</v>
      </c>
      <c r="U5" s="1" t="str">
        <f>TEXT(WEEKDAY(DATE(CalendarYear,6,19),1),"aaa")</f>
        <v>ma</v>
      </c>
      <c r="V5" s="1" t="str">
        <f>TEXT(WEEKDAY(DATE(CalendarYear,6,20),1),"aaa")</f>
        <v>di</v>
      </c>
      <c r="W5" s="1" t="str">
        <f>TEXT(WEEKDAY(DATE(CalendarYear,6,21),1),"aaa")</f>
        <v>wo</v>
      </c>
      <c r="X5" s="1" t="str">
        <f>TEXT(WEEKDAY(DATE(CalendarYear,6,22),1),"aaa")</f>
        <v>do</v>
      </c>
      <c r="Y5" s="1" t="str">
        <f>TEXT(WEEKDAY(DATE(CalendarYear,6,23),1),"aaa")</f>
        <v>vr</v>
      </c>
      <c r="Z5" s="1" t="str">
        <f>TEXT(WEEKDAY(DATE(CalendarYear,6,24),1),"aaa")</f>
        <v>za</v>
      </c>
      <c r="AA5" s="1" t="str">
        <f>TEXT(WEEKDAY(DATE(CalendarYear,6,25),1),"aaa")</f>
        <v>zo</v>
      </c>
      <c r="AB5" s="1" t="str">
        <f>TEXT(WEEKDAY(DATE(CalendarYear,6,26),1),"aaa")</f>
        <v>ma</v>
      </c>
      <c r="AC5" s="1" t="str">
        <f>TEXT(WEEKDAY(DATE(CalendarYear,6,27),1),"aaa")</f>
        <v>di</v>
      </c>
      <c r="AD5" s="1" t="str">
        <f>TEXT(WEEKDAY(DATE(CalendarYear,6,28),1),"aaa")</f>
        <v>wo</v>
      </c>
      <c r="AE5" s="1" t="str">
        <f>TEXT(WEEKDAY(DATE(CalendarYear,6,29),1),"aaa")</f>
        <v>do</v>
      </c>
      <c r="AF5" s="1" t="str">
        <f>TEXT(WEEKDAY(DATE(CalendarYear,6,30),1),"aaa")</f>
        <v>vr</v>
      </c>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COUNTA(Juni[[#This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COUNTA(Juni[[#This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COUNTA(Juni[[#This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COUNTA(Juni[[#This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COUNTA(Juni[[#This Row],[1]:[31]])</f>
        <v>0</v>
      </c>
    </row>
    <row r="12" spans="2:34" ht="30" customHeight="1" x14ac:dyDescent="0.25">
      <c r="B12" s="14" t="str">
        <f>MonthName&amp;" totaal"</f>
        <v>Juni totaal</v>
      </c>
      <c r="C12" s="8">
        <f>SUBTOTAL(103,Juni[1])</f>
        <v>0</v>
      </c>
      <c r="D12" s="8">
        <f>SUBTOTAL(103,Juni[2])</f>
        <v>0</v>
      </c>
      <c r="E12" s="8">
        <f>SUBTOTAL(103,Juni[3])</f>
        <v>0</v>
      </c>
      <c r="F12" s="8">
        <f>SUBTOTAL(103,Juni[4])</f>
        <v>0</v>
      </c>
      <c r="G12" s="8">
        <f>SUBTOTAL(103,Juni[5])</f>
        <v>0</v>
      </c>
      <c r="H12" s="8">
        <f>SUBTOTAL(103,Juni[6])</f>
        <v>0</v>
      </c>
      <c r="I12" s="8">
        <f>SUBTOTAL(103,Juni[7])</f>
        <v>0</v>
      </c>
      <c r="J12" s="8">
        <f>SUBTOTAL(103,Juni[8])</f>
        <v>0</v>
      </c>
      <c r="K12" s="8">
        <f>SUBTOTAL(103,Juni[9])</f>
        <v>0</v>
      </c>
      <c r="L12" s="8">
        <f>SUBTOTAL(103,Juni[10])</f>
        <v>0</v>
      </c>
      <c r="M12" s="8">
        <f>SUBTOTAL(103,Juni[11])</f>
        <v>0</v>
      </c>
      <c r="N12" s="8">
        <f>SUBTOTAL(103,Juni[12])</f>
        <v>0</v>
      </c>
      <c r="O12" s="8">
        <f>SUBTOTAL(103,Juni[13])</f>
        <v>0</v>
      </c>
      <c r="P12" s="8">
        <f>SUBTOTAL(103,Juni[14])</f>
        <v>0</v>
      </c>
      <c r="Q12" s="8">
        <f>SUBTOTAL(103,Juni[15])</f>
        <v>0</v>
      </c>
      <c r="R12" s="8">
        <f>SUBTOTAL(103,Juni[16])</f>
        <v>0</v>
      </c>
      <c r="S12" s="8">
        <f>SUBTOTAL(103,Juni[17])</f>
        <v>0</v>
      </c>
      <c r="T12" s="8">
        <f>SUBTOTAL(103,Juni[18])</f>
        <v>0</v>
      </c>
      <c r="U12" s="8">
        <f>SUBTOTAL(103,Juni[19])</f>
        <v>0</v>
      </c>
      <c r="V12" s="8">
        <f>SUBTOTAL(103,Juni[20])</f>
        <v>0</v>
      </c>
      <c r="W12" s="8">
        <f>SUBTOTAL(103,Juni[21])</f>
        <v>0</v>
      </c>
      <c r="X12" s="8">
        <f>SUBTOTAL(103,Juni[22])</f>
        <v>0</v>
      </c>
      <c r="Y12" s="8">
        <f>SUBTOTAL(103,Juni[23])</f>
        <v>0</v>
      </c>
      <c r="Z12" s="8">
        <f>SUBTOTAL(103,Juni[24])</f>
        <v>0</v>
      </c>
      <c r="AA12" s="8">
        <f>SUBTOTAL(103,Juni[25])</f>
        <v>0</v>
      </c>
      <c r="AB12" s="8">
        <f>SUBTOTAL(103,Juni[26])</f>
        <v>0</v>
      </c>
      <c r="AC12" s="8">
        <f>SUBTOTAL(103,Juni[27])</f>
        <v>0</v>
      </c>
      <c r="AD12" s="8">
        <f>SUBTOTAL(103,Juni[28])</f>
        <v>0</v>
      </c>
      <c r="AE12" s="8">
        <f>SUBTOTAL(103,Juni[29])</f>
        <v>0</v>
      </c>
      <c r="AF12" s="8">
        <f>SUBTOTAL(109,Juni[30])</f>
        <v>0</v>
      </c>
      <c r="AG12" s="8">
        <f>SUBTOTAL(109,Juni[31])</f>
        <v>0</v>
      </c>
      <c r="AH12" s="8">
        <f>SUBTOTAL(109,Juni[Totaal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601" priority="14" stopIfTrue="1">
      <formula>C7=KeyCustom2</formula>
    </cfRule>
    <cfRule type="expression" dxfId="600" priority="15" stopIfTrue="1">
      <formula>C7=KeyCustom1</formula>
    </cfRule>
    <cfRule type="expression" dxfId="599" priority="16" stopIfTrue="1">
      <formula>C7=KeySick</formula>
    </cfRule>
    <cfRule type="expression" dxfId="598" priority="17" stopIfTrue="1">
      <formula>C7=KeyPersonal</formula>
    </cfRule>
    <cfRule type="expression" dxfId="597"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{5E94D469-7B22-408B-924D-8DC8A136AD3B}</x14:id>
        </ext>
      </extLst>
    </cfRule>
  </conditionalFormatting>
  <conditionalFormatting sqref="C2">
    <cfRule type="containsText" dxfId="596" priority="2" operator="containsText" text="V">
      <formula>NOT(ISERROR(SEARCH("V",C2)))</formula>
    </cfRule>
    <cfRule type="containsText" dxfId="595" priority="3" operator="containsText" text="V">
      <formula>NOT(ISERROR(SEARCH("V",C2)))</formula>
    </cfRule>
    <cfRule type="containsText" dxfId="594" priority="9" operator="containsText" text="V">
      <formula>NOT(ISERROR(SEARCH("V",C2)))</formula>
    </cfRule>
    <cfRule type="containsText" dxfId="593" priority="10" operator="containsText" text="V">
      <formula>NOT(ISERROR(SEARCH("V",C2)))</formula>
    </cfRule>
    <cfRule type="containsText" dxfId="592" priority="11" operator="containsText" text="V">
      <formula>NOT(ISERROR(SEARCH("V",C2)))</formula>
    </cfRule>
    <cfRule type="containsText" dxfId="591" priority="12" operator="containsText" text="V">
      <formula>NOT(ISERROR(SEARCH("V",C2)))</formula>
    </cfRule>
  </conditionalFormatting>
  <conditionalFormatting sqref="F2">
    <cfRule type="containsText" dxfId="590" priority="5" operator="containsText" text="e">
      <formula>NOT(ISERROR(SEARCH("e",F2)))</formula>
    </cfRule>
    <cfRule type="cellIs" dxfId="589" priority="6" operator="equal">
      <formula>42767</formula>
    </cfRule>
    <cfRule type="containsText" dxfId="588" priority="7" operator="containsText" text="1/2">
      <formula>NOT(ISERROR(SEARCH("1/2",F2)))</formula>
    </cfRule>
    <cfRule type="containsText" dxfId="587" priority="8" operator="containsText" text="R">
      <formula>NOT(ISERROR(SEARCH("R",F2)))</formula>
    </cfRule>
  </conditionalFormatting>
  <conditionalFormatting sqref="K2">
    <cfRule type="containsText" dxfId="586" priority="1" operator="containsText" text="Z">
      <formula>NOT(ISERROR(SEARCH("Z",K2)))</formula>
    </cfRule>
    <cfRule type="containsText" dxfId="585" priority="4" operator="containsText" text="Z">
      <formula>NOT(ISERROR(SEARCH("Z",K2)))</formula>
    </cfRule>
  </conditionalFormatting>
  <dataValidations count="1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juni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theme="1"/>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46</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TEXT(WEEKDAY(DATE(CalendarYear,7,1),1),"aaa")</f>
        <v>za</v>
      </c>
      <c r="D5" s="1" t="str">
        <f>TEXT(WEEKDAY(DATE(CalendarYear,7,2),1),"aaa")</f>
        <v>zo</v>
      </c>
      <c r="E5" s="1" t="str">
        <f>TEXT(WEEKDAY(DATE(CalendarYear,7,3),1),"aaa")</f>
        <v>ma</v>
      </c>
      <c r="F5" s="1" t="str">
        <f>TEXT(WEEKDAY(DATE(CalendarYear,7,4),1),"aaa")</f>
        <v>di</v>
      </c>
      <c r="G5" s="1" t="str">
        <f>TEXT(WEEKDAY(DATE(CalendarYear,7,5),1),"aaa")</f>
        <v>wo</v>
      </c>
      <c r="H5" s="1" t="str">
        <f>TEXT(WEEKDAY(DATE(CalendarYear,7,6),1),"aaa")</f>
        <v>do</v>
      </c>
      <c r="I5" s="1" t="str">
        <f>TEXT(WEEKDAY(DATE(CalendarYear,7,7),1),"aaa")</f>
        <v>vr</v>
      </c>
      <c r="J5" s="1" t="str">
        <f>TEXT(WEEKDAY(DATE(CalendarYear,7,8),1),"aaa")</f>
        <v>za</v>
      </c>
      <c r="K5" s="1" t="str">
        <f>TEXT(WEEKDAY(DATE(CalendarYear,7,9),1),"aaa")</f>
        <v>zo</v>
      </c>
      <c r="L5" s="1" t="str">
        <f>TEXT(WEEKDAY(DATE(CalendarYear,7,10),1),"aaa")</f>
        <v>ma</v>
      </c>
      <c r="M5" s="1" t="str">
        <f>TEXT(WEEKDAY(DATE(CalendarYear,7,11),1),"aaa")</f>
        <v>di</v>
      </c>
      <c r="N5" s="1" t="str">
        <f>TEXT(WEEKDAY(DATE(CalendarYear,7,12),1),"aaa")</f>
        <v>wo</v>
      </c>
      <c r="O5" s="1" t="str">
        <f>TEXT(WEEKDAY(DATE(CalendarYear,7,13),1),"aaa")</f>
        <v>do</v>
      </c>
      <c r="P5" s="1" t="str">
        <f>TEXT(WEEKDAY(DATE(CalendarYear,7,14),1),"aaa")</f>
        <v>vr</v>
      </c>
      <c r="Q5" s="1" t="str">
        <f>TEXT(WEEKDAY(DATE(CalendarYear,7,15),1),"aaa")</f>
        <v>za</v>
      </c>
      <c r="R5" s="1" t="str">
        <f>TEXT(WEEKDAY(DATE(CalendarYear,7,16),1),"aaa")</f>
        <v>zo</v>
      </c>
      <c r="S5" s="1" t="str">
        <f>TEXT(WEEKDAY(DATE(CalendarYear,7,17),1),"aaa")</f>
        <v>ma</v>
      </c>
      <c r="T5" s="1" t="str">
        <f>TEXT(WEEKDAY(DATE(CalendarYear,7,18),1),"aaa")</f>
        <v>di</v>
      </c>
      <c r="U5" s="1" t="str">
        <f>TEXT(WEEKDAY(DATE(CalendarYear,7,19),1),"aaa")</f>
        <v>wo</v>
      </c>
      <c r="V5" s="1" t="str">
        <f>TEXT(WEEKDAY(DATE(CalendarYear,7,20),1),"aaa")</f>
        <v>do</v>
      </c>
      <c r="W5" s="1" t="str">
        <f>TEXT(WEEKDAY(DATE(CalendarYear,7,21),1),"aaa")</f>
        <v>vr</v>
      </c>
      <c r="X5" s="1" t="str">
        <f>TEXT(WEEKDAY(DATE(CalendarYear,7,22),1),"aaa")</f>
        <v>za</v>
      </c>
      <c r="Y5" s="1" t="str">
        <f>TEXT(WEEKDAY(DATE(CalendarYear,7,23),1),"aaa")</f>
        <v>zo</v>
      </c>
      <c r="Z5" s="1" t="str">
        <f>TEXT(WEEKDAY(DATE(CalendarYear,7,24),1),"aaa")</f>
        <v>ma</v>
      </c>
      <c r="AA5" s="1" t="str">
        <f>TEXT(WEEKDAY(DATE(CalendarYear,7,25),1),"aaa")</f>
        <v>di</v>
      </c>
      <c r="AB5" s="1" t="str">
        <f>TEXT(WEEKDAY(DATE(CalendarYear,7,26),1),"aaa")</f>
        <v>wo</v>
      </c>
      <c r="AC5" s="1" t="str">
        <f>TEXT(WEEKDAY(DATE(CalendarYear,7,27),1),"aaa")</f>
        <v>do</v>
      </c>
      <c r="AD5" s="1" t="str">
        <f>TEXT(WEEKDAY(DATE(CalendarYear,7,28),1),"aaa")</f>
        <v>vr</v>
      </c>
      <c r="AE5" s="1" t="str">
        <f>TEXT(WEEKDAY(DATE(CalendarYear,7,29),1),"aaa")</f>
        <v>za</v>
      </c>
      <c r="AF5" s="1" t="str">
        <f>TEXT(WEEKDAY(DATE(CalendarYear,7,30),1),"aaa")</f>
        <v>zo</v>
      </c>
      <c r="AG5" s="1" t="str">
        <f>TEXT(WEEKDAY(DATE(CalendarYear,7,31),1),"aaa")</f>
        <v>ma</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COUNTA(Juli[[#This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COUNTA(Juli[[#This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COUNTA(Juli[[#This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COUNTA(Juli[[#This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COUNTA(Juli[[#This Row],[1]:[31]])</f>
        <v>0</v>
      </c>
    </row>
    <row r="12" spans="2:34" ht="30" customHeight="1" x14ac:dyDescent="0.25">
      <c r="B12" s="14" t="str">
        <f>MonthName&amp;" totaal"</f>
        <v>Juli totaal</v>
      </c>
      <c r="C12" s="8">
        <f>SUBTOTAL(103,Juli[1])</f>
        <v>0</v>
      </c>
      <c r="D12" s="8">
        <f>SUBTOTAL(103,Juli[2])</f>
        <v>0</v>
      </c>
      <c r="E12" s="8">
        <f>SUBTOTAL(103,Juli[3])</f>
        <v>0</v>
      </c>
      <c r="F12" s="8">
        <f>SUBTOTAL(103,Juli[4])</f>
        <v>0</v>
      </c>
      <c r="G12" s="8">
        <f>SUBTOTAL(103,Juli[5])</f>
        <v>0</v>
      </c>
      <c r="H12" s="8">
        <f>SUBTOTAL(103,Juli[6])</f>
        <v>0</v>
      </c>
      <c r="I12" s="8">
        <f>SUBTOTAL(103,Juli[7])</f>
        <v>0</v>
      </c>
      <c r="J12" s="8">
        <f>SUBTOTAL(103,Juli[8])</f>
        <v>0</v>
      </c>
      <c r="K12" s="8">
        <f>SUBTOTAL(103,Juli[9])</f>
        <v>0</v>
      </c>
      <c r="L12" s="8">
        <f>SUBTOTAL(103,Juli[10])</f>
        <v>0</v>
      </c>
      <c r="M12" s="8">
        <f>SUBTOTAL(103,Juli[11])</f>
        <v>0</v>
      </c>
      <c r="N12" s="8">
        <f>SUBTOTAL(103,Juli[12])</f>
        <v>0</v>
      </c>
      <c r="O12" s="8">
        <f>SUBTOTAL(103,Juli[13])</f>
        <v>0</v>
      </c>
      <c r="P12" s="8">
        <f>SUBTOTAL(103,Juli[14])</f>
        <v>0</v>
      </c>
      <c r="Q12" s="8">
        <f>SUBTOTAL(103,Juli[15])</f>
        <v>0</v>
      </c>
      <c r="R12" s="8">
        <f>SUBTOTAL(103,Juli[16])</f>
        <v>0</v>
      </c>
      <c r="S12" s="8">
        <f>SUBTOTAL(103,Juli[17])</f>
        <v>0</v>
      </c>
      <c r="T12" s="8">
        <f>SUBTOTAL(103,Juli[18])</f>
        <v>0</v>
      </c>
      <c r="U12" s="8">
        <f>SUBTOTAL(103,Juli[19])</f>
        <v>0</v>
      </c>
      <c r="V12" s="8">
        <f>SUBTOTAL(103,Juli[20])</f>
        <v>0</v>
      </c>
      <c r="W12" s="8">
        <f>SUBTOTAL(103,Juli[21])</f>
        <v>0</v>
      </c>
      <c r="X12" s="8">
        <f>SUBTOTAL(103,Juli[22])</f>
        <v>0</v>
      </c>
      <c r="Y12" s="8">
        <f>SUBTOTAL(103,Juli[23])</f>
        <v>0</v>
      </c>
      <c r="Z12" s="8">
        <f>SUBTOTAL(103,Juli[24])</f>
        <v>0</v>
      </c>
      <c r="AA12" s="8">
        <f>SUBTOTAL(103,Juli[25])</f>
        <v>0</v>
      </c>
      <c r="AB12" s="8">
        <f>SUBTOTAL(103,Juli[26])</f>
        <v>0</v>
      </c>
      <c r="AC12" s="8">
        <f>SUBTOTAL(103,Juli[27])</f>
        <v>0</v>
      </c>
      <c r="AD12" s="8">
        <f>SUBTOTAL(103,Juli[28])</f>
        <v>0</v>
      </c>
      <c r="AE12" s="8">
        <f>SUBTOTAL(103,Juli[29])</f>
        <v>0</v>
      </c>
      <c r="AF12" s="8">
        <f>SUBTOTAL(109,Juli[30])</f>
        <v>0</v>
      </c>
      <c r="AG12" s="8">
        <f>SUBTOTAL(109,Juli[31])</f>
        <v>0</v>
      </c>
      <c r="AH12" s="8">
        <f>SUBTOTAL(109,Juli[Totaal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515" priority="14" stopIfTrue="1">
      <formula>C7=KeyCustom2</formula>
    </cfRule>
    <cfRule type="expression" dxfId="514" priority="15" stopIfTrue="1">
      <formula>C7=KeyCustom1</formula>
    </cfRule>
    <cfRule type="expression" dxfId="513" priority="16" stopIfTrue="1">
      <formula>C7=KeySick</formula>
    </cfRule>
    <cfRule type="expression" dxfId="512" priority="17" stopIfTrue="1">
      <formula>C7=KeyPersonal</formula>
    </cfRule>
    <cfRule type="expression" dxfId="511"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{E0DCF129-9B2A-4CEB-9E56-27607F4BED20}</x14:id>
        </ext>
      </extLst>
    </cfRule>
  </conditionalFormatting>
  <conditionalFormatting sqref="C2">
    <cfRule type="containsText" dxfId="510" priority="2" operator="containsText" text="V">
      <formula>NOT(ISERROR(SEARCH("V",C2)))</formula>
    </cfRule>
    <cfRule type="containsText" dxfId="509" priority="3" operator="containsText" text="V">
      <formula>NOT(ISERROR(SEARCH("V",C2)))</formula>
    </cfRule>
    <cfRule type="containsText" dxfId="508" priority="9" operator="containsText" text="V">
      <formula>NOT(ISERROR(SEARCH("V",C2)))</formula>
    </cfRule>
    <cfRule type="containsText" dxfId="507" priority="10" operator="containsText" text="V">
      <formula>NOT(ISERROR(SEARCH("V",C2)))</formula>
    </cfRule>
    <cfRule type="containsText" dxfId="506" priority="11" operator="containsText" text="V">
      <formula>NOT(ISERROR(SEARCH("V",C2)))</formula>
    </cfRule>
    <cfRule type="containsText" dxfId="505" priority="12" operator="containsText" text="V">
      <formula>NOT(ISERROR(SEARCH("V",C2)))</formula>
    </cfRule>
  </conditionalFormatting>
  <conditionalFormatting sqref="F2">
    <cfRule type="containsText" dxfId="504" priority="5" operator="containsText" text="e">
      <formula>NOT(ISERROR(SEARCH("e",F2)))</formula>
    </cfRule>
    <cfRule type="cellIs" dxfId="503" priority="6" operator="equal">
      <formula>42767</formula>
    </cfRule>
    <cfRule type="containsText" dxfId="502" priority="7" operator="containsText" text="1/2">
      <formula>NOT(ISERROR(SEARCH("1/2",F2)))</formula>
    </cfRule>
    <cfRule type="containsText" dxfId="501" priority="8" operator="containsText" text="R">
      <formula>NOT(ISERROR(SEARCH("R",F2)))</formula>
    </cfRule>
  </conditionalFormatting>
  <conditionalFormatting sqref="K2">
    <cfRule type="containsText" dxfId="500" priority="1" operator="containsText" text="Z">
      <formula>NOT(ISERROR(SEARCH("Z",K2)))</formula>
    </cfRule>
    <cfRule type="containsText" dxfId="499"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juli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theme="2" tint="-0.749992370372631"/>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47</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TEXT(WEEKDAY(DATE(CalendarYear,8,1),1),"aaa")</f>
        <v>di</v>
      </c>
      <c r="D5" s="1" t="str">
        <f>TEXT(WEEKDAY(DATE(CalendarYear,8,2),1),"aaa")</f>
        <v>wo</v>
      </c>
      <c r="E5" s="1" t="str">
        <f>TEXT(WEEKDAY(DATE(CalendarYear,8,3),1),"aaa")</f>
        <v>do</v>
      </c>
      <c r="F5" s="1" t="str">
        <f>TEXT(WEEKDAY(DATE(CalendarYear,8,4),1),"aaa")</f>
        <v>vr</v>
      </c>
      <c r="G5" s="1" t="str">
        <f>TEXT(WEEKDAY(DATE(CalendarYear,8,5),1),"aaa")</f>
        <v>za</v>
      </c>
      <c r="H5" s="1" t="str">
        <f>TEXT(WEEKDAY(DATE(CalendarYear,8,6),1),"aaa")</f>
        <v>zo</v>
      </c>
      <c r="I5" s="1" t="str">
        <f>TEXT(WEEKDAY(DATE(CalendarYear,8,7),1),"aaa")</f>
        <v>ma</v>
      </c>
      <c r="J5" s="1" t="str">
        <f>TEXT(WEEKDAY(DATE(CalendarYear,8,8),1),"aaa")</f>
        <v>di</v>
      </c>
      <c r="K5" s="1" t="str">
        <f>TEXT(WEEKDAY(DATE(CalendarYear,8,9),1),"aaa")</f>
        <v>wo</v>
      </c>
      <c r="L5" s="1" t="str">
        <f>TEXT(WEEKDAY(DATE(CalendarYear,8,10),1),"aaa")</f>
        <v>do</v>
      </c>
      <c r="M5" s="1" t="str">
        <f>TEXT(WEEKDAY(DATE(CalendarYear,8,11),1),"aaa")</f>
        <v>vr</v>
      </c>
      <c r="N5" s="1" t="str">
        <f>TEXT(WEEKDAY(DATE(CalendarYear,8,12),1),"aaa")</f>
        <v>za</v>
      </c>
      <c r="O5" s="1" t="str">
        <f>TEXT(WEEKDAY(DATE(CalendarYear,8,13),1),"aaa")</f>
        <v>zo</v>
      </c>
      <c r="P5" s="1" t="str">
        <f>TEXT(WEEKDAY(DATE(CalendarYear,8,14),1),"aaa")</f>
        <v>ma</v>
      </c>
      <c r="Q5" s="1" t="str">
        <f>TEXT(WEEKDAY(DATE(CalendarYear,8,15),1),"aaa")</f>
        <v>di</v>
      </c>
      <c r="R5" s="1" t="str">
        <f>TEXT(WEEKDAY(DATE(CalendarYear,8,16),1),"aaa")</f>
        <v>wo</v>
      </c>
      <c r="S5" s="1" t="str">
        <f>TEXT(WEEKDAY(DATE(CalendarYear,8,17),1),"aaa")</f>
        <v>do</v>
      </c>
      <c r="T5" s="1" t="str">
        <f>TEXT(WEEKDAY(DATE(CalendarYear,8,18),1),"aaa")</f>
        <v>vr</v>
      </c>
      <c r="U5" s="1" t="str">
        <f>TEXT(WEEKDAY(DATE(CalendarYear,8,19),1),"aaa")</f>
        <v>za</v>
      </c>
      <c r="V5" s="1" t="str">
        <f>TEXT(WEEKDAY(DATE(CalendarYear,8,20),1),"aaa")</f>
        <v>zo</v>
      </c>
      <c r="W5" s="1" t="str">
        <f>TEXT(WEEKDAY(DATE(CalendarYear,8,21),1),"aaa")</f>
        <v>ma</v>
      </c>
      <c r="X5" s="1" t="str">
        <f>TEXT(WEEKDAY(DATE(CalendarYear,8,22),1),"aaa")</f>
        <v>di</v>
      </c>
      <c r="Y5" s="1" t="str">
        <f>TEXT(WEEKDAY(DATE(CalendarYear,8,23),1),"aaa")</f>
        <v>wo</v>
      </c>
      <c r="Z5" s="1" t="str">
        <f>TEXT(WEEKDAY(DATE(CalendarYear,8,24),1),"aaa")</f>
        <v>do</v>
      </c>
      <c r="AA5" s="1" t="str">
        <f>TEXT(WEEKDAY(DATE(CalendarYear,8,25),1),"aaa")</f>
        <v>vr</v>
      </c>
      <c r="AB5" s="1" t="str">
        <f>TEXT(WEEKDAY(DATE(CalendarYear,8,26),1),"aaa")</f>
        <v>za</v>
      </c>
      <c r="AC5" s="1" t="str">
        <f>TEXT(WEEKDAY(DATE(CalendarYear,8,27),1),"aaa")</f>
        <v>zo</v>
      </c>
      <c r="AD5" s="1" t="str">
        <f>TEXT(WEEKDAY(DATE(CalendarYear,8,28),1),"aaa")</f>
        <v>ma</v>
      </c>
      <c r="AE5" s="1" t="str">
        <f>TEXT(WEEKDAY(DATE(CalendarYear,8,29),1),"aaa")</f>
        <v>di</v>
      </c>
      <c r="AF5" s="1" t="str">
        <f>TEXT(WEEKDAY(DATE(CalendarYear,8,30),1),"aaa")</f>
        <v>wo</v>
      </c>
      <c r="AG5" s="1" t="str">
        <f>TEXT(WEEKDAY(DATE(CalendarYear,8,31),1),"aaa")</f>
        <v>do</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COUNTA(Augustus[[#This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COUNTA(Augustus[[#This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COUNTA(Augustus[[#This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COUNTA(Augustus[[#This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COUNTA(Augustus[[#This Row],[1]:[31]])</f>
        <v>0</v>
      </c>
    </row>
    <row r="12" spans="2:34" ht="30" customHeight="1" x14ac:dyDescent="0.25">
      <c r="B12" s="14" t="str">
        <f>MonthName&amp;" totaal"</f>
        <v>Augustus totaal</v>
      </c>
      <c r="C12" s="8">
        <f>SUBTOTAL(103,Augustus[1])</f>
        <v>0</v>
      </c>
      <c r="D12" s="8">
        <f>SUBTOTAL(103,Augustus[2])</f>
        <v>0</v>
      </c>
      <c r="E12" s="8">
        <f>SUBTOTAL(103,Augustus[3])</f>
        <v>0</v>
      </c>
      <c r="F12" s="8">
        <f>SUBTOTAL(103,Augustus[4])</f>
        <v>0</v>
      </c>
      <c r="G12" s="8">
        <f>SUBTOTAL(103,Augustus[5])</f>
        <v>0</v>
      </c>
      <c r="H12" s="8">
        <f>SUBTOTAL(103,Augustus[6])</f>
        <v>0</v>
      </c>
      <c r="I12" s="8">
        <f>SUBTOTAL(103,Augustus[7])</f>
        <v>0</v>
      </c>
      <c r="J12" s="8">
        <f>SUBTOTAL(103,Augustus[8])</f>
        <v>0</v>
      </c>
      <c r="K12" s="8">
        <f>SUBTOTAL(103,Augustus[9])</f>
        <v>0</v>
      </c>
      <c r="L12" s="8">
        <f>SUBTOTAL(103,Augustus[10])</f>
        <v>0</v>
      </c>
      <c r="M12" s="8">
        <f>SUBTOTAL(103,Augustus[11])</f>
        <v>0</v>
      </c>
      <c r="N12" s="8">
        <f>SUBTOTAL(103,Augustus[12])</f>
        <v>0</v>
      </c>
      <c r="O12" s="8">
        <f>SUBTOTAL(103,Augustus[13])</f>
        <v>0</v>
      </c>
      <c r="P12" s="8">
        <f>SUBTOTAL(103,Augustus[14])</f>
        <v>0</v>
      </c>
      <c r="Q12" s="8">
        <f>SUBTOTAL(103,Augustus[15])</f>
        <v>0</v>
      </c>
      <c r="R12" s="8">
        <f>SUBTOTAL(103,Augustus[16])</f>
        <v>0</v>
      </c>
      <c r="S12" s="8">
        <f>SUBTOTAL(103,Augustus[17])</f>
        <v>0</v>
      </c>
      <c r="T12" s="8">
        <f>SUBTOTAL(103,Augustus[18])</f>
        <v>0</v>
      </c>
      <c r="U12" s="8">
        <f>SUBTOTAL(103,Augustus[19])</f>
        <v>0</v>
      </c>
      <c r="V12" s="8">
        <f>SUBTOTAL(103,Augustus[20])</f>
        <v>0</v>
      </c>
      <c r="W12" s="8">
        <f>SUBTOTAL(103,Augustus[21])</f>
        <v>0</v>
      </c>
      <c r="X12" s="8">
        <f>SUBTOTAL(103,Augustus[22])</f>
        <v>0</v>
      </c>
      <c r="Y12" s="8">
        <f>SUBTOTAL(103,Augustus[23])</f>
        <v>0</v>
      </c>
      <c r="Z12" s="8">
        <f>SUBTOTAL(103,Augustus[24])</f>
        <v>0</v>
      </c>
      <c r="AA12" s="8">
        <f>SUBTOTAL(103,Augustus[25])</f>
        <v>0</v>
      </c>
      <c r="AB12" s="8">
        <f>SUBTOTAL(103,Augustus[26])</f>
        <v>0</v>
      </c>
      <c r="AC12" s="8">
        <f>SUBTOTAL(103,Augustus[27])</f>
        <v>0</v>
      </c>
      <c r="AD12" s="8">
        <f>SUBTOTAL(103,Augustus[28])</f>
        <v>0</v>
      </c>
      <c r="AE12" s="8">
        <f>SUBTOTAL(103,Augustus[29])</f>
        <v>0</v>
      </c>
      <c r="AF12" s="8">
        <f>SUBTOTAL(109,Augustus[30])</f>
        <v>0</v>
      </c>
      <c r="AG12" s="8">
        <f>SUBTOTAL(109,Augustus[31])</f>
        <v>0</v>
      </c>
      <c r="AH12" s="8">
        <f>SUBTOTAL(109,Augustus[Totaal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429" priority="14" stopIfTrue="1">
      <formula>C7=KeyCustom2</formula>
    </cfRule>
    <cfRule type="expression" dxfId="428" priority="15" stopIfTrue="1">
      <formula>C7=KeyCustom1</formula>
    </cfRule>
    <cfRule type="expression" dxfId="427" priority="16" stopIfTrue="1">
      <formula>C7=KeySick</formula>
    </cfRule>
    <cfRule type="expression" dxfId="426" priority="17" stopIfTrue="1">
      <formula>C7=KeyPersonal</formula>
    </cfRule>
    <cfRule type="expression" dxfId="425"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{09900229-9536-43AB-AAE0-FC121BDECD61}</x14:id>
        </ext>
      </extLst>
    </cfRule>
  </conditionalFormatting>
  <conditionalFormatting sqref="C2">
    <cfRule type="containsText" dxfId="424" priority="2" operator="containsText" text="V">
      <formula>NOT(ISERROR(SEARCH("V",C2)))</formula>
    </cfRule>
    <cfRule type="containsText" dxfId="423" priority="3" operator="containsText" text="V">
      <formula>NOT(ISERROR(SEARCH("V",C2)))</formula>
    </cfRule>
    <cfRule type="containsText" dxfId="422" priority="9" operator="containsText" text="V">
      <formula>NOT(ISERROR(SEARCH("V",C2)))</formula>
    </cfRule>
    <cfRule type="containsText" dxfId="421" priority="10" operator="containsText" text="V">
      <formula>NOT(ISERROR(SEARCH("V",C2)))</formula>
    </cfRule>
    <cfRule type="containsText" dxfId="420" priority="11" operator="containsText" text="V">
      <formula>NOT(ISERROR(SEARCH("V",C2)))</formula>
    </cfRule>
    <cfRule type="containsText" dxfId="419" priority="12" operator="containsText" text="V">
      <formula>NOT(ISERROR(SEARCH("V",C2)))</formula>
    </cfRule>
  </conditionalFormatting>
  <conditionalFormatting sqref="F2">
    <cfRule type="containsText" dxfId="418" priority="5" operator="containsText" text="e">
      <formula>NOT(ISERROR(SEARCH("e",F2)))</formula>
    </cfRule>
    <cfRule type="cellIs" dxfId="417" priority="6" operator="equal">
      <formula>42767</formula>
    </cfRule>
    <cfRule type="containsText" dxfId="416" priority="7" operator="containsText" text="1/2">
      <formula>NOT(ISERROR(SEARCH("1/2",F2)))</formula>
    </cfRule>
    <cfRule type="containsText" dxfId="415" priority="8" operator="containsText" text="R">
      <formula>NOT(ISERROR(SEARCH("R",F2)))</formula>
    </cfRule>
  </conditionalFormatting>
  <conditionalFormatting sqref="K2">
    <cfRule type="containsText" dxfId="414" priority="1" operator="containsText" text="Z">
      <formula>NOT(ISERROR(SEARCH("Z",K2)))</formula>
    </cfRule>
    <cfRule type="containsText" dxfId="413" priority="4" operator="containsText" text="Z">
      <formula>NOT(ISERROR(SEARCH("Z",K2)))</formula>
    </cfRule>
  </conditionalFormatting>
  <dataValidations count="1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augustus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theme="2" tint="-0.499984740745262"/>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1" t="s">
        <v>61</v>
      </c>
      <c r="E2" s="52"/>
      <c r="F2" s="20" t="s">
        <v>59</v>
      </c>
      <c r="G2" s="53" t="s">
        <v>60</v>
      </c>
      <c r="H2" s="54"/>
      <c r="I2" s="54"/>
      <c r="J2" s="54"/>
      <c r="K2" s="25" t="s">
        <v>9</v>
      </c>
      <c r="L2" s="24" t="s">
        <v>15</v>
      </c>
      <c r="M2" s="23"/>
      <c r="N2" s="29" t="s">
        <v>62</v>
      </c>
      <c r="O2" s="27" t="s">
        <v>63</v>
      </c>
      <c r="P2" s="17"/>
      <c r="Q2" s="28" t="s">
        <v>65</v>
      </c>
      <c r="R2" s="55" t="s">
        <v>64</v>
      </c>
      <c r="S2" s="54"/>
      <c r="T2" s="54"/>
      <c r="U2" s="54"/>
    </row>
    <row r="3" spans="2:34" ht="15" customHeight="1" x14ac:dyDescent="0.25">
      <c r="B3" s="9"/>
    </row>
    <row r="4" spans="2:34" ht="30" customHeight="1" x14ac:dyDescent="0.25">
      <c r="B4" s="7" t="s">
        <v>53</v>
      </c>
      <c r="C4" s="56" t="s">
        <v>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7">
        <f>CalendarYear</f>
        <v>2017</v>
      </c>
    </row>
    <row r="5" spans="2:34" ht="15" customHeight="1" x14ac:dyDescent="0.25">
      <c r="B5" s="7"/>
      <c r="C5" s="1" t="str">
        <f>TEXT(WEEKDAY(DATE(CalendarYear,9,1),1),"aaa")</f>
        <v>vr</v>
      </c>
      <c r="D5" s="1" t="str">
        <f>TEXT(WEEKDAY(DATE(CalendarYear,9,2),1),"aaa")</f>
        <v>za</v>
      </c>
      <c r="E5" s="1" t="str">
        <f>TEXT(WEEKDAY(DATE(CalendarYear,9,3),1),"aaa")</f>
        <v>zo</v>
      </c>
      <c r="F5" s="1" t="str">
        <f>TEXT(WEEKDAY(DATE(CalendarYear,9,4),1),"aaa")</f>
        <v>ma</v>
      </c>
      <c r="G5" s="1" t="str">
        <f>TEXT(WEEKDAY(DATE(CalendarYear,9,5),1),"aaa")</f>
        <v>di</v>
      </c>
      <c r="H5" s="1" t="str">
        <f>TEXT(WEEKDAY(DATE(CalendarYear,9,6),1),"aaa")</f>
        <v>wo</v>
      </c>
      <c r="I5" s="1" t="str">
        <f>TEXT(WEEKDAY(DATE(CalendarYear,9,7),1),"aaa")</f>
        <v>do</v>
      </c>
      <c r="J5" s="1" t="str">
        <f>TEXT(WEEKDAY(DATE(CalendarYear,9,8),1),"aaa")</f>
        <v>vr</v>
      </c>
      <c r="K5" s="1" t="str">
        <f>TEXT(WEEKDAY(DATE(CalendarYear,9,9),1),"aaa")</f>
        <v>za</v>
      </c>
      <c r="L5" s="1" t="str">
        <f>TEXT(WEEKDAY(DATE(CalendarYear,9,10),1),"aaa")</f>
        <v>zo</v>
      </c>
      <c r="M5" s="1" t="str">
        <f>TEXT(WEEKDAY(DATE(CalendarYear,9,11),1),"aaa")</f>
        <v>ma</v>
      </c>
      <c r="N5" s="1" t="str">
        <f>TEXT(WEEKDAY(DATE(CalendarYear,9,12),1),"aaa")</f>
        <v>di</v>
      </c>
      <c r="O5" s="1" t="str">
        <f>TEXT(WEEKDAY(DATE(CalendarYear,9,13),1),"aaa")</f>
        <v>wo</v>
      </c>
      <c r="P5" s="1" t="str">
        <f>TEXT(WEEKDAY(DATE(CalendarYear,9,14),1),"aaa")</f>
        <v>do</v>
      </c>
      <c r="Q5" s="1" t="str">
        <f>TEXT(WEEKDAY(DATE(CalendarYear,9,15),1),"aaa")</f>
        <v>vr</v>
      </c>
      <c r="R5" s="1" t="str">
        <f>TEXT(WEEKDAY(DATE(CalendarYear,9,16),1),"aaa")</f>
        <v>za</v>
      </c>
      <c r="S5" s="1" t="str">
        <f>TEXT(WEEKDAY(DATE(CalendarYear,9,17),1),"aaa")</f>
        <v>zo</v>
      </c>
      <c r="T5" s="1" t="str">
        <f>TEXT(WEEKDAY(DATE(CalendarYear,9,18),1),"aaa")</f>
        <v>ma</v>
      </c>
      <c r="U5" s="1" t="str">
        <f>TEXT(WEEKDAY(DATE(CalendarYear,9,19),1),"aaa")</f>
        <v>di</v>
      </c>
      <c r="V5" s="1" t="str">
        <f>TEXT(WEEKDAY(DATE(CalendarYear,9,20),1),"aaa")</f>
        <v>wo</v>
      </c>
      <c r="W5" s="1" t="str">
        <f>TEXT(WEEKDAY(DATE(CalendarYear,9,21),1),"aaa")</f>
        <v>do</v>
      </c>
      <c r="X5" s="1" t="str">
        <f>TEXT(WEEKDAY(DATE(CalendarYear,9,22),1),"aaa")</f>
        <v>vr</v>
      </c>
      <c r="Y5" s="1" t="str">
        <f>TEXT(WEEKDAY(DATE(CalendarYear,9,23),1),"aaa")</f>
        <v>za</v>
      </c>
      <c r="Z5" s="1" t="str">
        <f>TEXT(WEEKDAY(DATE(CalendarYear,9,24),1),"aaa")</f>
        <v>zo</v>
      </c>
      <c r="AA5" s="1" t="str">
        <f>TEXT(WEEKDAY(DATE(CalendarYear,9,25),1),"aaa")</f>
        <v>ma</v>
      </c>
      <c r="AB5" s="1" t="str">
        <f>TEXT(WEEKDAY(DATE(CalendarYear,9,26),1),"aaa")</f>
        <v>di</v>
      </c>
      <c r="AC5" s="1" t="str">
        <f>TEXT(WEEKDAY(DATE(CalendarYear,9,27),1),"aaa")</f>
        <v>wo</v>
      </c>
      <c r="AD5" s="1" t="str">
        <f>TEXT(WEEKDAY(DATE(CalendarYear,9,28),1),"aaa")</f>
        <v>do</v>
      </c>
      <c r="AE5" s="1" t="str">
        <f>TEXT(WEEKDAY(DATE(CalendarYear,9,29),1),"aaa")</f>
        <v>vr</v>
      </c>
      <c r="AF5" s="1" t="str">
        <f>TEXT(WEEKDAY(DATE(CalendarYear,9,30),1),"aaa")</f>
        <v>za</v>
      </c>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COUNTA(September[[#This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COUNTA(September[[#This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COUNTA(September[[#This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COUNTA(September[[#This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COUNTA(September[[#This Row],[1]:[31]])</f>
        <v>0</v>
      </c>
    </row>
    <row r="12" spans="2:34" ht="30" customHeight="1" x14ac:dyDescent="0.25">
      <c r="B12" s="14" t="str">
        <f>MonthName&amp;" totaal"</f>
        <v>September totaal</v>
      </c>
      <c r="C12" s="8">
        <f>SUBTOTAL(103,September[1])</f>
        <v>0</v>
      </c>
      <c r="D12" s="8">
        <f>SUBTOTAL(103,September[2])</f>
        <v>0</v>
      </c>
      <c r="E12" s="8">
        <f>SUBTOTAL(103,September[3])</f>
        <v>0</v>
      </c>
      <c r="F12" s="8">
        <f>SUBTOTAL(103,September[4])</f>
        <v>0</v>
      </c>
      <c r="G12" s="8">
        <f>SUBTOTAL(103,September[5])</f>
        <v>0</v>
      </c>
      <c r="H12" s="8">
        <f>SUBTOTAL(103,September[6])</f>
        <v>0</v>
      </c>
      <c r="I12" s="8">
        <f>SUBTOTAL(103,September[7])</f>
        <v>0</v>
      </c>
      <c r="J12" s="8">
        <f>SUBTOTAL(103,September[8])</f>
        <v>0</v>
      </c>
      <c r="K12" s="8">
        <f>SUBTOTAL(103,September[9])</f>
        <v>0</v>
      </c>
      <c r="L12" s="8">
        <f>SUBTOTAL(103,September[10])</f>
        <v>0</v>
      </c>
      <c r="M12" s="8">
        <f>SUBTOTAL(103,September[11])</f>
        <v>0</v>
      </c>
      <c r="N12" s="8">
        <f>SUBTOTAL(103,September[12])</f>
        <v>0</v>
      </c>
      <c r="O12" s="8">
        <f>SUBTOTAL(103,September[13])</f>
        <v>0</v>
      </c>
      <c r="P12" s="8">
        <f>SUBTOTAL(103,September[14])</f>
        <v>0</v>
      </c>
      <c r="Q12" s="8">
        <f>SUBTOTAL(103,September[15])</f>
        <v>0</v>
      </c>
      <c r="R12" s="8">
        <f>SUBTOTAL(103,September[16])</f>
        <v>0</v>
      </c>
      <c r="S12" s="8">
        <f>SUBTOTAL(103,September[17])</f>
        <v>0</v>
      </c>
      <c r="T12" s="8">
        <f>SUBTOTAL(103,September[18])</f>
        <v>0</v>
      </c>
      <c r="U12" s="8">
        <f>SUBTOTAL(103,September[19])</f>
        <v>0</v>
      </c>
      <c r="V12" s="8">
        <f>SUBTOTAL(103,September[20])</f>
        <v>0</v>
      </c>
      <c r="W12" s="8">
        <f>SUBTOTAL(103,September[21])</f>
        <v>0</v>
      </c>
      <c r="X12" s="8">
        <f>SUBTOTAL(103,September[22])</f>
        <v>0</v>
      </c>
      <c r="Y12" s="8">
        <f>SUBTOTAL(103,September[23])</f>
        <v>0</v>
      </c>
      <c r="Z12" s="8">
        <f>SUBTOTAL(103,September[24])</f>
        <v>0</v>
      </c>
      <c r="AA12" s="8">
        <f>SUBTOTAL(103,September[25])</f>
        <v>0</v>
      </c>
      <c r="AB12" s="8">
        <f>SUBTOTAL(103,September[26])</f>
        <v>0</v>
      </c>
      <c r="AC12" s="8">
        <f>SUBTOTAL(103,September[27])</f>
        <v>0</v>
      </c>
      <c r="AD12" s="8">
        <f>SUBTOTAL(103,September[28])</f>
        <v>0</v>
      </c>
      <c r="AE12" s="8">
        <f>SUBTOTAL(103,September[29])</f>
        <v>0</v>
      </c>
      <c r="AF12" s="8">
        <f>SUBTOTAL(109,September[30])</f>
        <v>0</v>
      </c>
      <c r="AG12" s="8">
        <f>SUBTOTAL(109,September[31])</f>
        <v>0</v>
      </c>
      <c r="AH12" s="8">
        <f>SUBTOTAL(109,September[Totaal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343" priority="14" stopIfTrue="1">
      <formula>C7=KeyCustom2</formula>
    </cfRule>
    <cfRule type="expression" dxfId="342" priority="15" stopIfTrue="1">
      <formula>C7=KeyCustom1</formula>
    </cfRule>
    <cfRule type="expression" dxfId="341" priority="16" stopIfTrue="1">
      <formula>C7=KeySick</formula>
    </cfRule>
    <cfRule type="expression" dxfId="340" priority="17" stopIfTrue="1">
      <formula>C7=KeyPersonal</formula>
    </cfRule>
    <cfRule type="expression" dxfId="339"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{1A021984-06A1-41D9-90D2-8C16E885020B}</x14:id>
        </ext>
      </extLst>
    </cfRule>
  </conditionalFormatting>
  <conditionalFormatting sqref="C2">
    <cfRule type="containsText" dxfId="338" priority="2" operator="containsText" text="V">
      <formula>NOT(ISERROR(SEARCH("V",C2)))</formula>
    </cfRule>
    <cfRule type="containsText" dxfId="337" priority="3" operator="containsText" text="V">
      <formula>NOT(ISERROR(SEARCH("V",C2)))</formula>
    </cfRule>
    <cfRule type="containsText" dxfId="336" priority="9" operator="containsText" text="V">
      <formula>NOT(ISERROR(SEARCH("V",C2)))</formula>
    </cfRule>
    <cfRule type="containsText" dxfId="335" priority="10" operator="containsText" text="V">
      <formula>NOT(ISERROR(SEARCH("V",C2)))</formula>
    </cfRule>
    <cfRule type="containsText" dxfId="334" priority="11" operator="containsText" text="V">
      <formula>NOT(ISERROR(SEARCH("V",C2)))</formula>
    </cfRule>
    <cfRule type="containsText" dxfId="333" priority="12" operator="containsText" text="V">
      <formula>NOT(ISERROR(SEARCH("V",C2)))</formula>
    </cfRule>
  </conditionalFormatting>
  <conditionalFormatting sqref="F2">
    <cfRule type="containsText" dxfId="332" priority="5" operator="containsText" text="e">
      <formula>NOT(ISERROR(SEARCH("e",F2)))</formula>
    </cfRule>
    <cfRule type="cellIs" dxfId="331" priority="6" operator="equal">
      <formula>42767</formula>
    </cfRule>
    <cfRule type="containsText" dxfId="330" priority="7" operator="containsText" text="1/2">
      <formula>NOT(ISERROR(SEARCH("1/2",F2)))</formula>
    </cfRule>
    <cfRule type="containsText" dxfId="329" priority="8" operator="containsText" text="R">
      <formula>NOT(ISERROR(SEARCH("R",F2)))</formula>
    </cfRule>
  </conditionalFormatting>
  <conditionalFormatting sqref="K2">
    <cfRule type="containsText" dxfId="328" priority="1" operator="containsText" text="Z">
      <formula>NOT(ISERROR(SEARCH("Z",K2)))</formula>
    </cfRule>
    <cfRule type="containsText" dxfId="327"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september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47</vt:i4>
      </vt:variant>
    </vt:vector>
  </HeadingPairs>
  <TitlesOfParts>
    <vt:vector size="60" baseType="lpstr">
      <vt:lpstr>Januari</vt:lpstr>
      <vt:lpstr>Februari</vt:lpstr>
      <vt:lpstr>Maart</vt:lpstr>
      <vt:lpstr>April</vt:lpstr>
      <vt:lpstr>Mei</vt:lpstr>
      <vt:lpstr>Juni</vt:lpstr>
      <vt:lpstr>Juli</vt:lpstr>
      <vt:lpstr>Augustus</vt:lpstr>
      <vt:lpstr>September</vt:lpstr>
      <vt:lpstr>Oktober</vt:lpstr>
      <vt:lpstr>November</vt:lpstr>
      <vt:lpstr>December</vt:lpstr>
      <vt:lpstr>Werknemersnamen</vt:lpstr>
      <vt:lpstr>April!Afdruktitels</vt:lpstr>
      <vt:lpstr>Augustus!Afdruktitels</vt:lpstr>
      <vt:lpstr>December!Afdruktitels</vt:lpstr>
      <vt:lpstr>Februari!Afdruktitels</vt:lpstr>
      <vt:lpstr>Januari!Afdruktitels</vt:lpstr>
      <vt:lpstr>Juli!Afdruktitels</vt:lpstr>
      <vt:lpstr>Juni!Afdruktitels</vt:lpstr>
      <vt:lpstr>Maart!Afdruktitels</vt:lpstr>
      <vt:lpstr>Mei!Afdruktitels</vt:lpstr>
      <vt:lpstr>November!Afdruktitels</vt:lpstr>
      <vt:lpstr>Oktober!Afdruktitels</vt:lpstr>
      <vt:lpstr>September!Afdruktitels</vt:lpstr>
      <vt:lpstr>CalendarYear</vt:lpstr>
      <vt:lpstr>ColumnTitle13</vt:lpstr>
      <vt:lpstr>Employee_Absence_Title</vt:lpstr>
      <vt:lpstr>Key_name</vt:lpstr>
      <vt:lpstr>KeyCustom1</vt:lpstr>
      <vt:lpstr>KeyCustom1Label</vt:lpstr>
      <vt:lpstr>KeyCustom2Label</vt:lpstr>
      <vt:lpstr>KeyPersonalLabel</vt:lpstr>
      <vt:lpstr>KeySick</vt:lpstr>
      <vt:lpstr>KeyVacation</vt:lpstr>
      <vt:lpstr>KeyVacationLabel</vt:lpstr>
      <vt:lpstr>April!MonthName</vt:lpstr>
      <vt:lpstr>Augustus!MonthName</vt:lpstr>
      <vt:lpstr>December!MonthName</vt:lpstr>
      <vt:lpstr>Februari!MonthName</vt:lpstr>
      <vt:lpstr>Januari!MonthName</vt:lpstr>
      <vt:lpstr>Juli!MonthName</vt:lpstr>
      <vt:lpstr>Juni!MonthName</vt:lpstr>
      <vt:lpstr>Maart!MonthName</vt:lpstr>
      <vt:lpstr>Mei!MonthName</vt:lpstr>
      <vt:lpstr>November!MonthName</vt:lpstr>
      <vt:lpstr>Oktober!MonthName</vt:lpstr>
      <vt:lpstr>September!MonthName</vt:lpstr>
      <vt:lpstr>Title1</vt:lpstr>
      <vt:lpstr>Title10</vt:lpstr>
      <vt:lpstr>Title11</vt:lpstr>
      <vt:lpstr>Title12</vt:lpstr>
      <vt:lpstr>Title2</vt:lpstr>
      <vt:lpstr>Title3</vt:lpstr>
      <vt:lpstr>Title4</vt:lpstr>
      <vt:lpstr>Title5</vt:lpstr>
      <vt:lpstr>Title6</vt:lpstr>
      <vt:lpstr>Title7</vt:lpstr>
      <vt:lpstr>Title8</vt:lpstr>
      <vt:lpstr>Title9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Serge Verschoren</dc:creator>
  <cp:lastModifiedBy>Serge Verschoren</cp:lastModifiedBy>
  <dcterms:created xsi:type="dcterms:W3CDTF">2016-12-06T04:52:27Z</dcterms:created>
  <dcterms:modified xsi:type="dcterms:W3CDTF">2017-10-17T11:29:04Z</dcterms:modified>
</cp:coreProperties>
</file>