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Thierry\Desktop\"/>
    </mc:Choice>
  </mc:AlternateContent>
  <xr:revisionPtr revIDLastSave="0" documentId="8_{07916B89-6A14-4084-BEB2-E1AD61F043F6}" xr6:coauthVersionLast="41" xr6:coauthVersionMax="41" xr10:uidLastSave="{00000000-0000-0000-0000-000000000000}"/>
  <bookViews>
    <workbookView xWindow="-120" yWindow="-120" windowWidth="20730" windowHeight="11160" tabRatio="686" xr2:uid="{00000000-000D-0000-FFFF-FFFF00000000}"/>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Januari!$R$2</definedName>
    <definedName name="KeyCustom2Label">Januari!$S$2</definedName>
    <definedName name="KeyPersonal">Januari!$G$2</definedName>
    <definedName name="KeyPersonalLabel">Januari!$H$2</definedName>
    <definedName name="KeySick">Januari!$K$2</definedName>
    <definedName name="KeySickLabel">Januari!$L$2</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2" i="15" l="1"/>
  <c r="B12" i="25"/>
  <c r="B12" i="24"/>
  <c r="B12" i="23"/>
  <c r="B12" i="22"/>
  <c r="B12" i="21"/>
  <c r="B12" i="20"/>
  <c r="B12" i="19"/>
  <c r="B12" i="18"/>
  <c r="B12" i="17"/>
  <c r="B12" i="5"/>
  <c r="B12" i="4"/>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G12" i="4"/>
  <c r="AF12" i="4"/>
  <c r="AE12" i="4"/>
  <c r="AD12"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H11" i="4"/>
  <c r="AH10" i="4"/>
  <c r="AH9" i="4"/>
  <c r="AH8" i="4"/>
  <c r="AH7" i="4"/>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12" i="5" l="1"/>
  <c r="AD12" i="5"/>
  <c r="AC12" i="5"/>
  <c r="AB12" i="5"/>
  <c r="AA12" i="5"/>
  <c r="Z12" i="5"/>
  <c r="Y12" i="5"/>
  <c r="X12" i="5"/>
  <c r="W12" i="5"/>
  <c r="V12" i="5"/>
  <c r="U12" i="5"/>
  <c r="T12" i="5"/>
  <c r="S12" i="5"/>
  <c r="R12" i="5"/>
  <c r="Q12" i="5"/>
  <c r="P12" i="5"/>
  <c r="O12" i="5"/>
  <c r="N12" i="5"/>
  <c r="M12" i="5"/>
  <c r="L12" i="5"/>
  <c r="K12" i="5"/>
  <c r="J12" i="5"/>
  <c r="I12" i="5"/>
  <c r="H12" i="5"/>
  <c r="G12" i="5"/>
  <c r="F12" i="5"/>
  <c r="E12" i="5"/>
  <c r="D12" i="5"/>
  <c r="C12" i="5"/>
  <c r="AE5" i="5"/>
  <c r="AD5" i="5"/>
  <c r="AC5" i="5"/>
  <c r="AA5" i="5"/>
  <c r="Z5" i="5"/>
  <c r="Y5" i="5"/>
  <c r="X5" i="5"/>
  <c r="W5" i="5"/>
  <c r="V5" i="5"/>
  <c r="U5" i="5"/>
  <c r="T5" i="5"/>
  <c r="S5" i="5"/>
  <c r="R5" i="5"/>
  <c r="Q5" i="5"/>
  <c r="P5" i="5"/>
  <c r="O5" i="5"/>
  <c r="N5" i="5"/>
  <c r="M5" i="5"/>
  <c r="L5" i="5"/>
  <c r="K5" i="5"/>
  <c r="J5" i="5"/>
  <c r="I5" i="5"/>
  <c r="H5" i="5"/>
  <c r="G5" i="5"/>
  <c r="F5" i="5"/>
  <c r="E5" i="5"/>
  <c r="D5" i="5"/>
  <c r="C5" i="5"/>
  <c r="AH12" i="5" l="1"/>
  <c r="AH12" i="4" l="1"/>
  <c r="AE5" i="4"/>
  <c r="AA5" i="4"/>
  <c r="W5" i="4"/>
  <c r="O5" i="4"/>
  <c r="G5" i="4"/>
  <c r="AD5" i="4"/>
  <c r="Z5" i="4"/>
  <c r="R5" i="4"/>
  <c r="N5" i="4"/>
  <c r="F5" i="4"/>
  <c r="M5" i="4"/>
  <c r="AG5" i="4"/>
  <c r="AC5" i="4"/>
  <c r="Y5" i="4"/>
  <c r="S5" i="4"/>
  <c r="K5" i="4"/>
  <c r="E5" i="4"/>
  <c r="AF5" i="4"/>
  <c r="AB5" i="4"/>
  <c r="X5" i="4"/>
  <c r="T5" i="4"/>
  <c r="P5" i="4"/>
  <c r="L5" i="4"/>
  <c r="H5" i="4"/>
  <c r="D5" i="4"/>
  <c r="Q5" i="4"/>
  <c r="I5" i="4"/>
  <c r="C5" i="4"/>
  <c r="V5" i="4"/>
  <c r="J5" i="4"/>
  <c r="U5" i="4"/>
</calcChain>
</file>

<file path=xl/sharedStrings.xml><?xml version="1.0" encoding="utf-8"?>
<sst xmlns="http://schemas.openxmlformats.org/spreadsheetml/2006/main" count="643" uniqueCount="65">
  <si>
    <t>Werknemersafwezigheidsplanning</t>
  </si>
  <si>
    <t>Sleutel afwezigheidstype</t>
  </si>
  <si>
    <t>Januari</t>
  </si>
  <si>
    <t>Naam van werknemer</t>
  </si>
  <si>
    <t>Werknemer 1</t>
  </si>
  <si>
    <t>Werknemer 2</t>
  </si>
  <si>
    <t>Werknemer 3</t>
  </si>
  <si>
    <t>Werknemer 4</t>
  </si>
  <si>
    <t>Werknemer 5</t>
  </si>
  <si>
    <t>V</t>
  </si>
  <si>
    <t>Afwezigheidsdatums</t>
  </si>
  <si>
    <t>1</t>
  </si>
  <si>
    <t>Vakantie</t>
  </si>
  <si>
    <t>2</t>
  </si>
  <si>
    <t>3</t>
  </si>
  <si>
    <t>P</t>
  </si>
  <si>
    <t>4</t>
  </si>
  <si>
    <t>Z</t>
  </si>
  <si>
    <t>5</t>
  </si>
  <si>
    <t>Persoonlijk</t>
  </si>
  <si>
    <t>6</t>
  </si>
  <si>
    <t>7</t>
  </si>
  <si>
    <t>8</t>
  </si>
  <si>
    <t>9</t>
  </si>
  <si>
    <t>Ziek</t>
  </si>
  <si>
    <t>10</t>
  </si>
  <si>
    <t>11</t>
  </si>
  <si>
    <t>12</t>
  </si>
  <si>
    <t>Aangepast 1</t>
  </si>
  <si>
    <t>13</t>
  </si>
  <si>
    <t>14</t>
  </si>
  <si>
    <t>15</t>
  </si>
  <si>
    <t>16</t>
  </si>
  <si>
    <t>Aangepast 2</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</si>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</sst>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s>
  <fills count="21">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s>
  <borders count="1">
    <border>
      <left/>
      <right/>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21">
    <xf numFmtId="0" fontId="0" fillId="0" borderId="0" xfId="0">
      <alignment horizontal="left" vertical="center"/>
    </xf>
    <xf numFmtId="0" fontId="1" fillId="0" borderId="0" xfId="26">
      <alignment horizontal="left" vertical="center" wrapText="1" indent="2"/>
    </xf>
    <xf numFmtId="0" fontId="0" fillId="0" borderId="0" xfId="0" applyAlignment="1">
      <alignment horizontal="center" vertical="center"/>
    </xf>
    <xf numFmtId="0" fontId="2" fillId="15" borderId="0" xfId="12" applyAlignment="1">
      <alignment horizontal="center" vertical="center"/>
    </xf>
    <xf numFmtId="0" fontId="2" fillId="10" borderId="0" xfId="19" applyAlignment="1">
      <alignment horizontal="center" vertical="center"/>
    </xf>
    <xf numFmtId="0" fontId="2" fillId="13" borderId="0" xfId="23" applyAlignment="1">
      <alignment horizontal="center" vertical="center"/>
    </xf>
    <xf numFmtId="164" fontId="2" fillId="9" borderId="0" xfId="8" applyNumberFormat="1" applyAlignment="1">
      <alignment horizontal="center" vertical="center"/>
    </xf>
    <xf numFmtId="164" fontId="2" fillId="14" borderId="0" xfId="24" applyNumberFormat="1" applyAlignment="1">
      <alignment horizontal="center" vertical="center"/>
    </xf>
    <xf numFmtId="1" fontId="1" fillId="0" borderId="0" xfId="25">
      <alignment horizontal="center" vertical="center"/>
    </xf>
    <xf numFmtId="0" fontId="6" fillId="2" borderId="0" xfId="3">
      <alignment horizontal="center" vertical="center"/>
    </xf>
    <xf numFmtId="164" fontId="0" fillId="0" borderId="0" xfId="0" applyNumberFormat="1" applyAlignment="1">
      <alignment horizontal="center" vertical="center"/>
    </xf>
    <xf numFmtId="0" fontId="7" fillId="0" borderId="0" xfId="1">
      <alignment vertical="top"/>
    </xf>
    <xf numFmtId="0" fontId="1" fillId="2" borderId="0" xfId="21" applyAlignment="1">
      <alignment horizontal="left" vertical="center" indent="1"/>
    </xf>
    <xf numFmtId="0" fontId="0" fillId="0" borderId="0" xfId="21" applyFont="1" applyFill="1" applyAlignment="1">
      <alignment horizontal="center" vertical="center"/>
    </xf>
    <xf numFmtId="0" fontId="0" fillId="0" borderId="0" xfId="0" applyAlignment="1">
      <alignment horizontal="left" vertical="center" wrapText="1"/>
    </xf>
    <xf numFmtId="0" fontId="2" fillId="20" borderId="0" xfId="4">
      <alignment horizontal="right" vertical="center" indent="1"/>
    </xf>
    <xf numFmtId="0" fontId="8" fillId="0" borderId="0" xfId="27">
      <alignment horizontal="center"/>
    </xf>
    <xf numFmtId="0" fontId="0" fillId="0" borderId="0" xfId="0" applyAlignment="1">
      <alignment horizontal="left" vertical="center" indent="1"/>
    </xf>
    <xf numFmtId="0" fontId="0" fillId="0" borderId="0" xfId="26" applyFont="1">
      <alignment horizontal="left" vertical="center" wrapText="1" indent="2"/>
    </xf>
    <xf numFmtId="0" fontId="6" fillId="2" borderId="0" xfId="3">
      <alignment horizontal="center" vertical="center"/>
    </xf>
    <xf numFmtId="0" fontId="1" fillId="2" borderId="0" xfId="21" applyAlignment="1">
      <alignment horizontal="left"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xr:uid="{00000000-0005-0000-0000-000013000000}"/>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xr:uid="{00000000-0005-0000-0000-00001B000000}"/>
  </cellStyles>
  <dxfs count="902">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dxf>
    <dxf>
      <protection locked="1" hidden="0"/>
    </dxf>
    <dxf>
      <protection locked="1" hidden="0"/>
    </dxf>
    <dxf>
      <protection locked="1" hidden="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xr9:uid="{00000000-0011-0000-FFFF-FFFF00000000}">
      <tableStyleElement type="wholeTable" dxfId="901"/>
      <tableStyleElement type="headerRow" dxfId="900"/>
      <tableStyleElement type="totalRow" dxfId="899"/>
      <tableStyleElement type="firstColumn" dxfId="898"/>
      <tableStyleElement type="lastColumn" dxfId="897"/>
      <tableStyleElement type="firstRowStripe" dxfId="896"/>
      <tableStyleElement type="secondRowStripe" dxfId="895"/>
      <tableStyleElement type="firstColumnStripe" dxfId="894"/>
      <tableStyleElement type="secondColumnStripe" dxfId="893"/>
      <tableStyleElement type="firstHeaderCell" dxfId="892"/>
      <tableStyleElement type="lastHeaderCell" dxfId="891"/>
      <tableStyleElement type="firstTotalCell" dxfId="890"/>
      <tableStyleElement type="lastTotalCell" dxfId="88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Januari" displayName="Januari" ref="B6:AH12" totalsRowCount="1" headerRowDxfId="883" dataDxfId="882" totalsRowDxfId="881">
  <autoFilter ref="B6:AH11"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xr3:uid="{00000000-0010-0000-0000-000001000000}" name="Naam van werknemer" totalsRowFunction="custom" dataDxfId="880" totalsRowDxfId="879">
      <totalsRowFormula>MonthName&amp;" totaal"</totalsRowFormula>
    </tableColumn>
    <tableColumn id="2" xr3:uid="{00000000-0010-0000-0000-000002000000}" name="1" totalsRowFunction="custom" dataDxfId="878" totalsRowDxfId="877">
      <totalsRowFormula>SUBTOTAL(103,Januari!$C$7:$C$11)</totalsRowFormula>
    </tableColumn>
    <tableColumn id="3" xr3:uid="{00000000-0010-0000-0000-000003000000}" name="2" totalsRowFunction="custom" dataDxfId="876" totalsRowDxfId="875">
      <totalsRowFormula>SUBTOTAL(103,Januari!$D$7:$D$11)</totalsRowFormula>
    </tableColumn>
    <tableColumn id="4" xr3:uid="{00000000-0010-0000-0000-000004000000}" name="3" totalsRowFunction="custom" dataDxfId="874" totalsRowDxfId="873">
      <totalsRowFormula>SUBTOTAL(103,Januari!$E$7:$E$11)</totalsRowFormula>
    </tableColumn>
    <tableColumn id="5" xr3:uid="{00000000-0010-0000-0000-000005000000}" name="4" totalsRowFunction="custom" dataDxfId="872" totalsRowDxfId="871">
      <totalsRowFormula>SUBTOTAL(103,Januari!$F$7:$F$11)</totalsRowFormula>
    </tableColumn>
    <tableColumn id="6" xr3:uid="{00000000-0010-0000-0000-000006000000}" name="5" totalsRowFunction="custom" totalsRowDxfId="870">
      <totalsRowFormula>SUBTOTAL(103,Januari!$G$7:$G$11)</totalsRowFormula>
    </tableColumn>
    <tableColumn id="7" xr3:uid="{00000000-0010-0000-0000-000007000000}" name="6" totalsRowFunction="custom" dataDxfId="869" totalsRowDxfId="868">
      <totalsRowFormula>SUBTOTAL(103,Januari!$H$7:$H$11)</totalsRowFormula>
    </tableColumn>
    <tableColumn id="8" xr3:uid="{00000000-0010-0000-0000-000008000000}" name="7" totalsRowFunction="custom" dataDxfId="867" totalsRowDxfId="866">
      <totalsRowFormula>SUBTOTAL(103,Januari!$I$7:$I$11)</totalsRowFormula>
    </tableColumn>
    <tableColumn id="9" xr3:uid="{00000000-0010-0000-0000-000009000000}" name="8" totalsRowFunction="custom" dataDxfId="865" totalsRowDxfId="864">
      <totalsRowFormula>SUBTOTAL(103,Januari!$J$7:$J$11)</totalsRowFormula>
    </tableColumn>
    <tableColumn id="10" xr3:uid="{00000000-0010-0000-0000-00000A000000}" name="9" totalsRowFunction="custom" dataDxfId="863" totalsRowDxfId="862">
      <totalsRowFormula>SUBTOTAL(103,Januari!$K$7:$K$11)</totalsRowFormula>
    </tableColumn>
    <tableColumn id="11" xr3:uid="{00000000-0010-0000-0000-00000B000000}" name="10" totalsRowFunction="custom" dataDxfId="861" totalsRowDxfId="860">
      <totalsRowFormula>SUBTOTAL(103,Januari!$L$7:$L$11)</totalsRowFormula>
    </tableColumn>
    <tableColumn id="12" xr3:uid="{00000000-0010-0000-0000-00000C000000}" name="11" totalsRowFunction="custom" dataDxfId="859" totalsRowDxfId="858">
      <totalsRowFormula>SUBTOTAL(103,Januari!$M$7:$M$11)</totalsRowFormula>
    </tableColumn>
    <tableColumn id="13" xr3:uid="{00000000-0010-0000-0000-00000D000000}" name="12" totalsRowFunction="custom" dataDxfId="857" totalsRowDxfId="856">
      <totalsRowFormula>SUBTOTAL(103,Januari!$N$7:$N$11)</totalsRowFormula>
    </tableColumn>
    <tableColumn id="14" xr3:uid="{00000000-0010-0000-0000-00000E000000}" name="13" totalsRowFunction="custom" dataDxfId="855" totalsRowDxfId="854">
      <totalsRowFormula>SUBTOTAL(103,Januari!$O$7:$O$11)</totalsRowFormula>
    </tableColumn>
    <tableColumn id="15" xr3:uid="{00000000-0010-0000-0000-00000F000000}" name="14" totalsRowFunction="custom" dataDxfId="853" totalsRowDxfId="852">
      <totalsRowFormula>SUBTOTAL(103,Januari!$P$7:$P$11)</totalsRowFormula>
    </tableColumn>
    <tableColumn id="16" xr3:uid="{00000000-0010-0000-0000-000010000000}" name="15" totalsRowFunction="custom" dataDxfId="851" totalsRowDxfId="850">
      <totalsRowFormula>SUBTOTAL(103,Januari!$Q$7:$Q$11)</totalsRowFormula>
    </tableColumn>
    <tableColumn id="17" xr3:uid="{00000000-0010-0000-0000-000011000000}" name="16" totalsRowFunction="custom" dataDxfId="849" totalsRowDxfId="848">
      <totalsRowFormula>SUBTOTAL(103,Januari!$R$7:$R$11)</totalsRowFormula>
    </tableColumn>
    <tableColumn id="18" xr3:uid="{00000000-0010-0000-0000-000012000000}" name="17" totalsRowFunction="custom" dataDxfId="847" totalsRowDxfId="846">
      <totalsRowFormula>SUBTOTAL(103,Januari!$S$7:$S$11)</totalsRowFormula>
    </tableColumn>
    <tableColumn id="19" xr3:uid="{00000000-0010-0000-0000-000013000000}" name="18" totalsRowFunction="custom" dataDxfId="845" totalsRowDxfId="844">
      <totalsRowFormula>SUBTOTAL(103,Januari!$T$7:$T$11)</totalsRowFormula>
    </tableColumn>
    <tableColumn id="20" xr3:uid="{00000000-0010-0000-0000-000014000000}" name="19" totalsRowFunction="custom" dataDxfId="843" totalsRowDxfId="842">
      <totalsRowFormula>SUBTOTAL(103,Januari!$U$7:$U$11)</totalsRowFormula>
    </tableColumn>
    <tableColumn id="21" xr3:uid="{00000000-0010-0000-0000-000015000000}" name="20" totalsRowFunction="custom" dataDxfId="841" totalsRowDxfId="840">
      <totalsRowFormula>SUBTOTAL(103,Januari!$V$7:$V$11)</totalsRowFormula>
    </tableColumn>
    <tableColumn id="22" xr3:uid="{00000000-0010-0000-0000-000016000000}" name="21" totalsRowFunction="custom" dataDxfId="839" totalsRowDxfId="838">
      <totalsRowFormula>SUBTOTAL(103,Januari!$W$7:$W$11)</totalsRowFormula>
    </tableColumn>
    <tableColumn id="23" xr3:uid="{00000000-0010-0000-0000-000017000000}" name="22" totalsRowFunction="custom" dataDxfId="837" totalsRowDxfId="836">
      <totalsRowFormula>SUBTOTAL(103,Januari!$X$7:$X$11)</totalsRowFormula>
    </tableColumn>
    <tableColumn id="24" xr3:uid="{00000000-0010-0000-0000-000018000000}" name="23" totalsRowFunction="custom" dataDxfId="835" totalsRowDxfId="834">
      <totalsRowFormula>SUBTOTAL(103,Januari!$Y$7:$Y$11)</totalsRowFormula>
    </tableColumn>
    <tableColumn id="25" xr3:uid="{00000000-0010-0000-0000-000019000000}" name="24" totalsRowFunction="custom" dataDxfId="833" totalsRowDxfId="832">
      <totalsRowFormula>SUBTOTAL(103,Januari!$Z$7:$Z$11)</totalsRowFormula>
    </tableColumn>
    <tableColumn id="26" xr3:uid="{00000000-0010-0000-0000-00001A000000}" name="25" totalsRowFunction="custom" dataDxfId="831" totalsRowDxfId="830">
      <totalsRowFormula>SUBTOTAL(103,Januari!$AA$7:$AA$11)</totalsRowFormula>
    </tableColumn>
    <tableColumn id="27" xr3:uid="{00000000-0010-0000-0000-00001B000000}" name="26" totalsRowFunction="custom" dataDxfId="829" totalsRowDxfId="828">
      <totalsRowFormula>SUBTOTAL(103,Januari!$AB$7:$AB$11)</totalsRowFormula>
    </tableColumn>
    <tableColumn id="28" xr3:uid="{00000000-0010-0000-0000-00001C000000}" name="27" totalsRowFunction="custom" dataDxfId="827" totalsRowDxfId="826">
      <totalsRowFormula>SUBTOTAL(103,Januari!$AC$7:$AC$11)</totalsRowFormula>
    </tableColumn>
    <tableColumn id="29" xr3:uid="{00000000-0010-0000-0000-00001D000000}" name="28" totalsRowFunction="custom" dataDxfId="825" totalsRowDxfId="824">
      <totalsRowFormula>SUBTOTAL(103,Januari!$AD$7:$AD$11)</totalsRowFormula>
    </tableColumn>
    <tableColumn id="30" xr3:uid="{00000000-0010-0000-0000-00001E000000}" name="29" totalsRowFunction="custom" dataDxfId="823" totalsRowDxfId="822">
      <totalsRowFormula>SUBTOTAL(103,Januari!$AE$7:$AE$11)</totalsRowFormula>
    </tableColumn>
    <tableColumn id="31" xr3:uid="{00000000-0010-0000-0000-00001F000000}" name="30" totalsRowFunction="custom" dataDxfId="821" totalsRowDxfId="820">
      <totalsRowFormula>SUBTOTAL(103,Januari!$AF$7:$AF$11)</totalsRowFormula>
    </tableColumn>
    <tableColumn id="32" xr3:uid="{00000000-0010-0000-0000-000020000000}" name="31" totalsRowFunction="custom" dataDxfId="819" totalsRowDxfId="818">
      <totalsRowFormula>SUBTOTAL(103,Januari!$AG$7:$AG$11)</totalsRowFormula>
    </tableColumn>
    <tableColumn id="33" xr3:uid="{00000000-0010-0000-0000-000021000000}" name="Totaal aantal dagen" totalsRowFunction="sum" dataDxfId="817" totalsRowDxfId="816">
      <calculatedColumnFormula>COUNTA(Januari!$C7:$AG7)</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Oktober" displayName="Oktober" ref="B6:AH12" totalsRowCount="1" headerRowDxfId="249" dataDxfId="248" totalsRowDxfId="247">
  <tableColumns count="33">
    <tableColumn id="1" xr3:uid="{00000000-0010-0000-0900-000001000000}" name="Naam van werknemer" totalsRowFunction="custom" dataDxfId="246" totalsRowDxfId="245">
      <totalsRowFormula>MonthName&amp;" totaal"</totalsRowFormula>
    </tableColumn>
    <tableColumn id="2" xr3:uid="{00000000-0010-0000-0900-000002000000}" name="1" totalsRowFunction="count" dataDxfId="244" totalsRowDxfId="243"/>
    <tableColumn id="3" xr3:uid="{00000000-0010-0000-0900-000003000000}" name="2" totalsRowFunction="count" dataDxfId="242" totalsRowDxfId="241"/>
    <tableColumn id="4" xr3:uid="{00000000-0010-0000-0900-000004000000}" name="3" totalsRowFunction="count" dataDxfId="240" totalsRowDxfId="239"/>
    <tableColumn id="5" xr3:uid="{00000000-0010-0000-0900-000005000000}" name="4" totalsRowFunction="count" dataDxfId="238" totalsRowDxfId="237"/>
    <tableColumn id="6" xr3:uid="{00000000-0010-0000-0900-000006000000}" name="5" totalsRowFunction="count" dataDxfId="236" totalsRowDxfId="235"/>
    <tableColumn id="7" xr3:uid="{00000000-0010-0000-0900-000007000000}" name="6" totalsRowFunction="count" dataDxfId="234" totalsRowDxfId="233"/>
    <tableColumn id="8" xr3:uid="{00000000-0010-0000-0900-000008000000}" name="7" totalsRowFunction="count" dataDxfId="232" totalsRowDxfId="231"/>
    <tableColumn id="9" xr3:uid="{00000000-0010-0000-0900-000009000000}" name="8" totalsRowFunction="count" dataDxfId="230" totalsRowDxfId="229"/>
    <tableColumn id="10" xr3:uid="{00000000-0010-0000-0900-00000A000000}" name="9" totalsRowFunction="count" dataDxfId="228" totalsRowDxfId="227"/>
    <tableColumn id="11" xr3:uid="{00000000-0010-0000-0900-00000B000000}" name="10" totalsRowFunction="count" dataDxfId="226" totalsRowDxfId="225"/>
    <tableColumn id="12" xr3:uid="{00000000-0010-0000-0900-00000C000000}" name="11" totalsRowFunction="count" dataDxfId="224" totalsRowDxfId="223"/>
    <tableColumn id="13" xr3:uid="{00000000-0010-0000-0900-00000D000000}" name="12" totalsRowFunction="count" dataDxfId="222" totalsRowDxfId="221"/>
    <tableColumn id="14" xr3:uid="{00000000-0010-0000-0900-00000E000000}" name="13" totalsRowFunction="count" dataDxfId="220" totalsRowDxfId="219"/>
    <tableColumn id="15" xr3:uid="{00000000-0010-0000-0900-00000F000000}" name="14" totalsRowFunction="count" dataDxfId="218" totalsRowDxfId="217"/>
    <tableColumn id="16" xr3:uid="{00000000-0010-0000-0900-000010000000}" name="15" totalsRowFunction="count" dataDxfId="216" totalsRowDxfId="215"/>
    <tableColumn id="17" xr3:uid="{00000000-0010-0000-0900-000011000000}" name="16" totalsRowFunction="count" dataDxfId="214" totalsRowDxfId="213"/>
    <tableColumn id="18" xr3:uid="{00000000-0010-0000-0900-000012000000}" name="17" totalsRowFunction="count" dataDxfId="212" totalsRowDxfId="211"/>
    <tableColumn id="19" xr3:uid="{00000000-0010-0000-0900-000013000000}" name="18" totalsRowFunction="count" dataDxfId="210" totalsRowDxfId="209"/>
    <tableColumn id="20" xr3:uid="{00000000-0010-0000-0900-000014000000}" name="19" totalsRowFunction="count" dataDxfId="208" totalsRowDxfId="207"/>
    <tableColumn id="21" xr3:uid="{00000000-0010-0000-0900-000015000000}" name="20" totalsRowFunction="count" dataDxfId="206" totalsRowDxfId="205"/>
    <tableColumn id="22" xr3:uid="{00000000-0010-0000-0900-000016000000}" name="21" totalsRowFunction="count" dataDxfId="204" totalsRowDxfId="203"/>
    <tableColumn id="23" xr3:uid="{00000000-0010-0000-0900-000017000000}" name="22" totalsRowFunction="count" dataDxfId="202" totalsRowDxfId="201"/>
    <tableColumn id="24" xr3:uid="{00000000-0010-0000-0900-000018000000}" name="23" totalsRowFunction="count" dataDxfId="200" totalsRowDxfId="199"/>
    <tableColumn id="25" xr3:uid="{00000000-0010-0000-0900-000019000000}" name="24" totalsRowFunction="count" dataDxfId="198" totalsRowDxfId="197"/>
    <tableColumn id="26" xr3:uid="{00000000-0010-0000-0900-00001A000000}" name="25" totalsRowFunction="count" dataDxfId="196" totalsRowDxfId="195"/>
    <tableColumn id="27" xr3:uid="{00000000-0010-0000-0900-00001B000000}" name="26" totalsRowFunction="count" dataDxfId="194" totalsRowDxfId="193"/>
    <tableColumn id="28" xr3:uid="{00000000-0010-0000-0900-00001C000000}" name="27" totalsRowFunction="count" dataDxfId="192" totalsRowDxfId="191"/>
    <tableColumn id="29" xr3:uid="{00000000-0010-0000-0900-00001D000000}" name="28" totalsRowFunction="count" dataDxfId="190" totalsRowDxfId="189"/>
    <tableColumn id="30" xr3:uid="{00000000-0010-0000-0900-00001E000000}" name="29" totalsRowFunction="count" dataDxfId="188" totalsRowDxfId="187"/>
    <tableColumn id="31" xr3:uid="{00000000-0010-0000-0900-00001F000000}" name="30" totalsRowFunction="sum" dataDxfId="186" totalsRowDxfId="185"/>
    <tableColumn id="32" xr3:uid="{00000000-0010-0000-0900-000020000000}" name="31" totalsRowFunction="sum" dataDxfId="184" totalsRowDxfId="183"/>
    <tableColumn id="33" xr3:uid="{00000000-0010-0000-0900-000021000000}" name="Totaal aantal dagen" totalsRowFunction="sum" dataDxfId="182" totalsRowDxfId="181">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November" displayName="November" ref="B6:AH12" totalsRowCount="1" headerRowDxfId="175" dataDxfId="174" totalsRowDxfId="173">
  <tableColumns count="33">
    <tableColumn id="1" xr3:uid="{00000000-0010-0000-0A00-000001000000}" name="Naam van werknemer" totalsRowFunction="custom" dataDxfId="172" totalsRowDxfId="171">
      <totalsRowFormula>MonthName&amp;" totaal"</totalsRowFormula>
    </tableColumn>
    <tableColumn id="2" xr3:uid="{00000000-0010-0000-0A00-000002000000}" name="1" totalsRowFunction="count" dataDxfId="170" totalsRowDxfId="169"/>
    <tableColumn id="3" xr3:uid="{00000000-0010-0000-0A00-000003000000}" name="2" totalsRowFunction="count" dataDxfId="168" totalsRowDxfId="167"/>
    <tableColumn id="4" xr3:uid="{00000000-0010-0000-0A00-000004000000}" name="3" totalsRowFunction="count" dataDxfId="166" totalsRowDxfId="165"/>
    <tableColumn id="5" xr3:uid="{00000000-0010-0000-0A00-000005000000}" name="4" totalsRowFunction="count" dataDxfId="164" totalsRowDxfId="163"/>
    <tableColumn id="6" xr3:uid="{00000000-0010-0000-0A00-000006000000}" name="5" totalsRowFunction="count" dataDxfId="162" totalsRowDxfId="161"/>
    <tableColumn id="7" xr3:uid="{00000000-0010-0000-0A00-000007000000}" name="6" totalsRowFunction="count" dataDxfId="160" totalsRowDxfId="159"/>
    <tableColumn id="8" xr3:uid="{00000000-0010-0000-0A00-000008000000}" name="7" totalsRowFunction="count" dataDxfId="158" totalsRowDxfId="157"/>
    <tableColumn id="9" xr3:uid="{00000000-0010-0000-0A00-000009000000}" name="8" totalsRowFunction="count" dataDxfId="156" totalsRowDxfId="155"/>
    <tableColumn id="10" xr3:uid="{00000000-0010-0000-0A00-00000A000000}" name="9" totalsRowFunction="count" dataDxfId="154" totalsRowDxfId="153"/>
    <tableColumn id="11" xr3:uid="{00000000-0010-0000-0A00-00000B000000}" name="10" totalsRowFunction="count" dataDxfId="152" totalsRowDxfId="151"/>
    <tableColumn id="12" xr3:uid="{00000000-0010-0000-0A00-00000C000000}" name="11" totalsRowFunction="count" dataDxfId="150" totalsRowDxfId="149"/>
    <tableColumn id="13" xr3:uid="{00000000-0010-0000-0A00-00000D000000}" name="12" totalsRowFunction="count" dataDxfId="148" totalsRowDxfId="147"/>
    <tableColumn id="14" xr3:uid="{00000000-0010-0000-0A00-00000E000000}" name="13" totalsRowFunction="count" dataDxfId="146" totalsRowDxfId="145"/>
    <tableColumn id="15" xr3:uid="{00000000-0010-0000-0A00-00000F000000}" name="14" totalsRowFunction="count" dataDxfId="144" totalsRowDxfId="143"/>
    <tableColumn id="16" xr3:uid="{00000000-0010-0000-0A00-000010000000}" name="15" totalsRowFunction="count" dataDxfId="142" totalsRowDxfId="141"/>
    <tableColumn id="17" xr3:uid="{00000000-0010-0000-0A00-000011000000}" name="16" totalsRowFunction="count" dataDxfId="140" totalsRowDxfId="139"/>
    <tableColumn id="18" xr3:uid="{00000000-0010-0000-0A00-000012000000}" name="17" totalsRowFunction="count" dataDxfId="138" totalsRowDxfId="137"/>
    <tableColumn id="19" xr3:uid="{00000000-0010-0000-0A00-000013000000}" name="18" totalsRowFunction="count" dataDxfId="136" totalsRowDxfId="135"/>
    <tableColumn id="20" xr3:uid="{00000000-0010-0000-0A00-000014000000}" name="19" totalsRowFunction="count" dataDxfId="134" totalsRowDxfId="133"/>
    <tableColumn id="21" xr3:uid="{00000000-0010-0000-0A00-000015000000}" name="20" totalsRowFunction="count" dataDxfId="132" totalsRowDxfId="131"/>
    <tableColumn id="22" xr3:uid="{00000000-0010-0000-0A00-000016000000}" name="21" totalsRowFunction="count" dataDxfId="130" totalsRowDxfId="129"/>
    <tableColumn id="23" xr3:uid="{00000000-0010-0000-0A00-000017000000}" name="22" totalsRowFunction="count" dataDxfId="128" totalsRowDxfId="127"/>
    <tableColumn id="24" xr3:uid="{00000000-0010-0000-0A00-000018000000}" name="23" totalsRowFunction="count" dataDxfId="126" totalsRowDxfId="125"/>
    <tableColumn id="25" xr3:uid="{00000000-0010-0000-0A00-000019000000}" name="24" totalsRowFunction="count" dataDxfId="124" totalsRowDxfId="123"/>
    <tableColumn id="26" xr3:uid="{00000000-0010-0000-0A00-00001A000000}" name="25" totalsRowFunction="count" dataDxfId="122" totalsRowDxfId="121"/>
    <tableColumn id="27" xr3:uid="{00000000-0010-0000-0A00-00001B000000}" name="26" totalsRowFunction="count" dataDxfId="120" totalsRowDxfId="119"/>
    <tableColumn id="28" xr3:uid="{00000000-0010-0000-0A00-00001C000000}" name="27" totalsRowFunction="count" dataDxfId="118" totalsRowDxfId="117"/>
    <tableColumn id="29" xr3:uid="{00000000-0010-0000-0A00-00001D000000}" name="28" totalsRowFunction="count" dataDxfId="116" totalsRowDxfId="115"/>
    <tableColumn id="30" xr3:uid="{00000000-0010-0000-0A00-00001E000000}" name="29" totalsRowFunction="count" dataDxfId="114" totalsRowDxfId="113"/>
    <tableColumn id="31" xr3:uid="{00000000-0010-0000-0A00-00001F000000}" name="30" totalsRowFunction="sum" dataDxfId="112" totalsRowDxfId="111"/>
    <tableColumn id="32" xr3:uid="{00000000-0010-0000-0A00-000020000000}" name="31" totalsRowFunction="sum" dataDxfId="110" totalsRowDxfId="109"/>
    <tableColumn id="33" xr3:uid="{00000000-0010-0000-0A00-000021000000}" name="Totaal aantal dagen" totalsRowFunction="sum" dataDxfId="108" totalsRowDxfId="107">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December" displayName="December" ref="B6:AH12" totalsRowCount="1" headerRowDxfId="101" dataDxfId="100" totalsRowDxfId="99">
  <tableColumns count="33">
    <tableColumn id="1" xr3:uid="{00000000-0010-0000-0B00-000001000000}" name="Naam van werknemer" totalsRowFunction="custom" dataDxfId="98" totalsRowDxfId="97">
      <totalsRowFormula>MonthName&amp;" totaal"</totalsRowFormula>
    </tableColumn>
    <tableColumn id="2" xr3:uid="{00000000-0010-0000-0B00-000002000000}" name="1" totalsRowFunction="count" dataDxfId="96" totalsRowDxfId="95"/>
    <tableColumn id="3" xr3:uid="{00000000-0010-0000-0B00-000003000000}" name="2" totalsRowFunction="count" dataDxfId="94" totalsRowDxfId="93"/>
    <tableColumn id="4" xr3:uid="{00000000-0010-0000-0B00-000004000000}" name="3" totalsRowFunction="count" dataDxfId="92" totalsRowDxfId="91"/>
    <tableColumn id="5" xr3:uid="{00000000-0010-0000-0B00-000005000000}" name="4" totalsRowFunction="count" dataDxfId="90" totalsRowDxfId="89"/>
    <tableColumn id="6" xr3:uid="{00000000-0010-0000-0B00-000006000000}" name="5" totalsRowFunction="count" dataDxfId="88" totalsRowDxfId="87"/>
    <tableColumn id="7" xr3:uid="{00000000-0010-0000-0B00-000007000000}" name="6" totalsRowFunction="count" dataDxfId="86" totalsRowDxfId="85"/>
    <tableColumn id="8" xr3:uid="{00000000-0010-0000-0B00-000008000000}" name="7" totalsRowFunction="count" dataDxfId="84" totalsRowDxfId="83"/>
    <tableColumn id="9" xr3:uid="{00000000-0010-0000-0B00-000009000000}" name="8" totalsRowFunction="count" dataDxfId="82" totalsRowDxfId="81"/>
    <tableColumn id="10" xr3:uid="{00000000-0010-0000-0B00-00000A000000}" name="9" totalsRowFunction="count" dataDxfId="80" totalsRowDxfId="79"/>
    <tableColumn id="11" xr3:uid="{00000000-0010-0000-0B00-00000B000000}" name="10" totalsRowFunction="count" dataDxfId="78" totalsRowDxfId="77"/>
    <tableColumn id="12" xr3:uid="{00000000-0010-0000-0B00-00000C000000}" name="11" totalsRowFunction="count" dataDxfId="76" totalsRowDxfId="75"/>
    <tableColumn id="13" xr3:uid="{00000000-0010-0000-0B00-00000D000000}" name="12" totalsRowFunction="count" dataDxfId="74" totalsRowDxfId="73"/>
    <tableColumn id="14" xr3:uid="{00000000-0010-0000-0B00-00000E000000}" name="13" totalsRowFunction="count" dataDxfId="72" totalsRowDxfId="71"/>
    <tableColumn id="15" xr3:uid="{00000000-0010-0000-0B00-00000F000000}" name="14" totalsRowFunction="count" dataDxfId="70" totalsRowDxfId="69"/>
    <tableColumn id="16" xr3:uid="{00000000-0010-0000-0B00-000010000000}" name="15" totalsRowFunction="count" dataDxfId="68" totalsRowDxfId="67"/>
    <tableColumn id="17" xr3:uid="{00000000-0010-0000-0B00-000011000000}" name="16" totalsRowFunction="count" dataDxfId="66" totalsRowDxfId="65"/>
    <tableColumn id="18" xr3:uid="{00000000-0010-0000-0B00-000012000000}" name="17" totalsRowFunction="count" dataDxfId="64" totalsRowDxfId="63"/>
    <tableColumn id="19" xr3:uid="{00000000-0010-0000-0B00-000013000000}" name="18" totalsRowFunction="count" dataDxfId="62" totalsRowDxfId="61"/>
    <tableColumn id="20" xr3:uid="{00000000-0010-0000-0B00-000014000000}" name="19" totalsRowFunction="count" dataDxfId="60" totalsRowDxfId="59"/>
    <tableColumn id="21" xr3:uid="{00000000-0010-0000-0B00-000015000000}" name="20" totalsRowFunction="count" dataDxfId="58" totalsRowDxfId="57"/>
    <tableColumn id="22" xr3:uid="{00000000-0010-0000-0B00-000016000000}" name="21" totalsRowFunction="count" dataDxfId="56" totalsRowDxfId="55"/>
    <tableColumn id="23" xr3:uid="{00000000-0010-0000-0B00-000017000000}" name="22" totalsRowFunction="count" dataDxfId="54" totalsRowDxfId="53"/>
    <tableColumn id="24" xr3:uid="{00000000-0010-0000-0B00-000018000000}" name="23" totalsRowFunction="count" dataDxfId="52" totalsRowDxfId="51"/>
    <tableColumn id="25" xr3:uid="{00000000-0010-0000-0B00-000019000000}" name="24" totalsRowFunction="count" dataDxfId="50" totalsRowDxfId="49"/>
    <tableColumn id="26" xr3:uid="{00000000-0010-0000-0B00-00001A000000}" name="25" totalsRowFunction="count" dataDxfId="48" totalsRowDxfId="47"/>
    <tableColumn id="27" xr3:uid="{00000000-0010-0000-0B00-00001B000000}" name="26" totalsRowFunction="count" dataDxfId="46" totalsRowDxfId="45"/>
    <tableColumn id="28" xr3:uid="{00000000-0010-0000-0B00-00001C000000}" name="27" totalsRowFunction="count" dataDxfId="44" totalsRowDxfId="43"/>
    <tableColumn id="29" xr3:uid="{00000000-0010-0000-0B00-00001D000000}" name="28" totalsRowFunction="count" dataDxfId="42" totalsRowDxfId="41"/>
    <tableColumn id="30" xr3:uid="{00000000-0010-0000-0B00-00001E000000}" name="29" totalsRowFunction="count" dataDxfId="40" totalsRowDxfId="39"/>
    <tableColumn id="31" xr3:uid="{00000000-0010-0000-0B00-00001F000000}" name="30" totalsRowFunction="sum" dataDxfId="38" totalsRowDxfId="37"/>
    <tableColumn id="32" xr3:uid="{00000000-0010-0000-0B00-000020000000}" name="31" totalsRowFunction="sum" dataDxfId="36" totalsRowDxfId="35"/>
    <tableColumn id="33" xr3:uid="{00000000-0010-0000-0B00-000021000000}" name="Totaal aantal dagen" totalsRowFunction="sum" dataDxfId="34" totalsRowDxfId="33">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NaamVanWerknemer" displayName="NaamVanWerknemer" ref="B3:B8" totalsRowShown="0" dataCellStyle="Werknemer">
  <autoFilter ref="B3:B8" xr:uid="{00000000-0009-0000-0100-00000D000000}"/>
  <tableColumns count="1">
    <tableColumn id="1" xr3:uid="{00000000-0010-0000-0C00-000001000000}"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Februari" displayName="Februari" ref="B6:AH12" totalsRowCount="1" headerRowDxfId="808" dataDxfId="807" totalsRowDxfId="806">
  <tableColumns count="33">
    <tableColumn id="1" xr3:uid="{00000000-0010-0000-0100-000001000000}" name="Naam van werknemer" totalsRowFunction="custom" dataDxfId="805" totalsRowDxfId="804">
      <totalsRowFormula>MonthName&amp;" totaal"</totalsRowFormula>
    </tableColumn>
    <tableColumn id="2" xr3:uid="{00000000-0010-0000-0100-000002000000}" name="1" totalsRowFunction="count" dataDxfId="803" totalsRowDxfId="802"/>
    <tableColumn id="3" xr3:uid="{00000000-0010-0000-0100-000003000000}" name="2" totalsRowFunction="count" dataDxfId="801" totalsRowDxfId="800"/>
    <tableColumn id="4" xr3:uid="{00000000-0010-0000-0100-000004000000}" name="3" totalsRowFunction="count" dataDxfId="799" totalsRowDxfId="798"/>
    <tableColumn id="5" xr3:uid="{00000000-0010-0000-0100-000005000000}" name="4" totalsRowFunction="count" dataDxfId="797" totalsRowDxfId="796"/>
    <tableColumn id="6" xr3:uid="{00000000-0010-0000-0100-000006000000}" name="5" totalsRowFunction="count" dataDxfId="795" totalsRowDxfId="794"/>
    <tableColumn id="7" xr3:uid="{00000000-0010-0000-0100-000007000000}" name="6" totalsRowFunction="count" dataDxfId="793" totalsRowDxfId="792"/>
    <tableColumn id="8" xr3:uid="{00000000-0010-0000-0100-000008000000}" name="7" totalsRowFunction="count" dataDxfId="791" totalsRowDxfId="790"/>
    <tableColumn id="9" xr3:uid="{00000000-0010-0000-0100-000009000000}" name="8" totalsRowFunction="count" dataDxfId="789" totalsRowDxfId="788"/>
    <tableColumn id="10" xr3:uid="{00000000-0010-0000-0100-00000A000000}" name="9" totalsRowFunction="count" dataDxfId="787" totalsRowDxfId="786"/>
    <tableColumn id="11" xr3:uid="{00000000-0010-0000-0100-00000B000000}" name="10" totalsRowFunction="count" dataDxfId="785" totalsRowDxfId="784"/>
    <tableColumn id="12" xr3:uid="{00000000-0010-0000-0100-00000C000000}" name="11" totalsRowFunction="count" dataDxfId="783" totalsRowDxfId="782"/>
    <tableColumn id="13" xr3:uid="{00000000-0010-0000-0100-00000D000000}" name="12" totalsRowFunction="count" dataDxfId="781" totalsRowDxfId="780"/>
    <tableColumn id="14" xr3:uid="{00000000-0010-0000-0100-00000E000000}" name="13" totalsRowFunction="count" dataDxfId="779" totalsRowDxfId="778"/>
    <tableColumn id="15" xr3:uid="{00000000-0010-0000-0100-00000F000000}" name="14" totalsRowFunction="count" dataDxfId="777" totalsRowDxfId="776"/>
    <tableColumn id="16" xr3:uid="{00000000-0010-0000-0100-000010000000}" name="15" totalsRowFunction="count" dataDxfId="775" totalsRowDxfId="774"/>
    <tableColumn id="17" xr3:uid="{00000000-0010-0000-0100-000011000000}" name="16" totalsRowFunction="count" dataDxfId="773" totalsRowDxfId="772"/>
    <tableColumn id="18" xr3:uid="{00000000-0010-0000-0100-000012000000}" name="17" totalsRowFunction="count" dataDxfId="771" totalsRowDxfId="770"/>
    <tableColumn id="19" xr3:uid="{00000000-0010-0000-0100-000013000000}" name="18" totalsRowFunction="count" dataDxfId="769" totalsRowDxfId="768"/>
    <tableColumn id="20" xr3:uid="{00000000-0010-0000-0100-000014000000}" name="19" totalsRowFunction="count" dataDxfId="767" totalsRowDxfId="766"/>
    <tableColumn id="21" xr3:uid="{00000000-0010-0000-0100-000015000000}" name="20" totalsRowFunction="count" dataDxfId="765" totalsRowDxfId="764"/>
    <tableColumn id="22" xr3:uid="{00000000-0010-0000-0100-000016000000}" name="21" totalsRowFunction="count" dataDxfId="763" totalsRowDxfId="762"/>
    <tableColumn id="23" xr3:uid="{00000000-0010-0000-0100-000017000000}" name="22" totalsRowFunction="count" dataDxfId="761" totalsRowDxfId="760"/>
    <tableColumn id="24" xr3:uid="{00000000-0010-0000-0100-000018000000}" name="23" totalsRowFunction="count" dataDxfId="759" totalsRowDxfId="758"/>
    <tableColumn id="25" xr3:uid="{00000000-0010-0000-0100-000019000000}" name="24" totalsRowFunction="count" dataDxfId="757" totalsRowDxfId="756"/>
    <tableColumn id="26" xr3:uid="{00000000-0010-0000-0100-00001A000000}" name="25" totalsRowFunction="count" dataDxfId="755" totalsRowDxfId="754"/>
    <tableColumn id="27" xr3:uid="{00000000-0010-0000-0100-00001B000000}" name="26" totalsRowFunction="count" dataDxfId="753" totalsRowDxfId="752"/>
    <tableColumn id="28" xr3:uid="{00000000-0010-0000-0100-00001C000000}" name="27" totalsRowFunction="count" dataDxfId="751" totalsRowDxfId="750"/>
    <tableColumn id="29" xr3:uid="{00000000-0010-0000-0100-00001D000000}" name="28" totalsRowFunction="count" dataDxfId="749" totalsRowDxfId="748"/>
    <tableColumn id="30" xr3:uid="{00000000-0010-0000-0100-00001E000000}" name="29" totalsRowFunction="count" dataDxfId="747" totalsRowDxfId="746"/>
    <tableColumn id="31" xr3:uid="{00000000-0010-0000-0100-00001F000000}" name=" " dataDxfId="745" totalsRowDxfId="744"/>
    <tableColumn id="32" xr3:uid="{00000000-0010-0000-0100-000020000000}" name="  " dataDxfId="743" totalsRowDxfId="742"/>
    <tableColumn id="33" xr3:uid="{00000000-0010-0000-0100-000021000000}" name="Totaal aantal dagen" totalsRowFunction="sum" dataDxfId="741" totalsRowDxfId="740">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2000000}" name="Maart" displayName="Maart" ref="B6:AH12" totalsRowCount="1" headerRowDxfId="734" dataDxfId="733" totalsRowDxfId="732">
  <tableColumns count="33">
    <tableColumn id="1" xr3:uid="{00000000-0010-0000-0200-000001000000}" name="Naam van werknemer" totalsRowFunction="custom" dataDxfId="731" totalsRowDxfId="730">
      <totalsRowFormula>MonthName&amp;" totaal"</totalsRowFormula>
    </tableColumn>
    <tableColumn id="2" xr3:uid="{00000000-0010-0000-0200-000002000000}" name="1" totalsRowFunction="count" dataDxfId="729" totalsRowDxfId="728"/>
    <tableColumn id="3" xr3:uid="{00000000-0010-0000-0200-000003000000}" name="2" totalsRowFunction="count" dataDxfId="727" totalsRowDxfId="726"/>
    <tableColumn id="4" xr3:uid="{00000000-0010-0000-0200-000004000000}" name="3" totalsRowFunction="count" dataDxfId="725" totalsRowDxfId="724"/>
    <tableColumn id="5" xr3:uid="{00000000-0010-0000-0200-000005000000}" name="4" totalsRowFunction="count" dataDxfId="723" totalsRowDxfId="722"/>
    <tableColumn id="6" xr3:uid="{00000000-0010-0000-0200-000006000000}" name="5" totalsRowFunction="count" dataDxfId="721" totalsRowDxfId="720"/>
    <tableColumn id="7" xr3:uid="{00000000-0010-0000-0200-000007000000}" name="6" totalsRowFunction="count" dataDxfId="719" totalsRowDxfId="718"/>
    <tableColumn id="8" xr3:uid="{00000000-0010-0000-0200-000008000000}" name="7" totalsRowFunction="count" dataDxfId="717" totalsRowDxfId="716"/>
    <tableColumn id="9" xr3:uid="{00000000-0010-0000-0200-000009000000}" name="8" totalsRowFunction="count" dataDxfId="715" totalsRowDxfId="714"/>
    <tableColumn id="10" xr3:uid="{00000000-0010-0000-0200-00000A000000}" name="9" totalsRowFunction="count" dataDxfId="713" totalsRowDxfId="712"/>
    <tableColumn id="11" xr3:uid="{00000000-0010-0000-0200-00000B000000}" name="10" totalsRowFunction="count" dataDxfId="711" totalsRowDxfId="710"/>
    <tableColumn id="12" xr3:uid="{00000000-0010-0000-0200-00000C000000}" name="11" totalsRowFunction="count" dataDxfId="709" totalsRowDxfId="708"/>
    <tableColumn id="13" xr3:uid="{00000000-0010-0000-0200-00000D000000}" name="12" totalsRowFunction="count" dataDxfId="707" totalsRowDxfId="706"/>
    <tableColumn id="14" xr3:uid="{00000000-0010-0000-0200-00000E000000}" name="13" totalsRowFunction="count" dataDxfId="705" totalsRowDxfId="704"/>
    <tableColumn id="15" xr3:uid="{00000000-0010-0000-0200-00000F000000}" name="14" totalsRowFunction="count" dataDxfId="703" totalsRowDxfId="702"/>
    <tableColumn id="16" xr3:uid="{00000000-0010-0000-0200-000010000000}" name="15" totalsRowFunction="count" dataDxfId="701" totalsRowDxfId="700"/>
    <tableColumn id="17" xr3:uid="{00000000-0010-0000-0200-000011000000}" name="16" totalsRowFunction="count" dataDxfId="699" totalsRowDxfId="698"/>
    <tableColumn id="18" xr3:uid="{00000000-0010-0000-0200-000012000000}" name="17" totalsRowFunction="count" dataDxfId="697" totalsRowDxfId="696"/>
    <tableColumn id="19" xr3:uid="{00000000-0010-0000-0200-000013000000}" name="18" totalsRowFunction="count" dataDxfId="695" totalsRowDxfId="694"/>
    <tableColumn id="20" xr3:uid="{00000000-0010-0000-0200-000014000000}" name="19" totalsRowFunction="count" dataDxfId="693" totalsRowDxfId="692"/>
    <tableColumn id="21" xr3:uid="{00000000-0010-0000-0200-000015000000}" name="20" totalsRowFunction="count" dataDxfId="691" totalsRowDxfId="690"/>
    <tableColumn id="22" xr3:uid="{00000000-0010-0000-0200-000016000000}" name="21" totalsRowFunction="count" dataDxfId="689" totalsRowDxfId="688"/>
    <tableColumn id="23" xr3:uid="{00000000-0010-0000-0200-000017000000}" name="22" totalsRowFunction="count" dataDxfId="687" totalsRowDxfId="686"/>
    <tableColumn id="24" xr3:uid="{00000000-0010-0000-0200-000018000000}" name="23" totalsRowFunction="count" dataDxfId="685" totalsRowDxfId="684"/>
    <tableColumn id="25" xr3:uid="{00000000-0010-0000-0200-000019000000}" name="24" totalsRowFunction="count" dataDxfId="683" totalsRowDxfId="682"/>
    <tableColumn id="26" xr3:uid="{00000000-0010-0000-0200-00001A000000}" name="25" totalsRowFunction="count" dataDxfId="681" totalsRowDxfId="680"/>
    <tableColumn id="27" xr3:uid="{00000000-0010-0000-0200-00001B000000}" name="26" totalsRowFunction="count" dataDxfId="679" totalsRowDxfId="678"/>
    <tableColumn id="28" xr3:uid="{00000000-0010-0000-0200-00001C000000}" name="27" totalsRowFunction="count" dataDxfId="677" totalsRowDxfId="676"/>
    <tableColumn id="29" xr3:uid="{00000000-0010-0000-0200-00001D000000}" name="28" totalsRowFunction="count" dataDxfId="675" totalsRowDxfId="674"/>
    <tableColumn id="30" xr3:uid="{00000000-0010-0000-0200-00001E000000}" name="29" totalsRowFunction="count" dataDxfId="673" totalsRowDxfId="672"/>
    <tableColumn id="31" xr3:uid="{00000000-0010-0000-0200-00001F000000}" name="30" totalsRowFunction="sum" dataDxfId="671" totalsRowDxfId="670"/>
    <tableColumn id="32" xr3:uid="{00000000-0010-0000-0200-000020000000}" name="31" totalsRowFunction="sum" dataDxfId="669" totalsRowDxfId="668"/>
    <tableColumn id="33" xr3:uid="{00000000-0010-0000-0200-000021000000}" name="Totaal aantal dagen" totalsRowFunction="sum" dataDxfId="667" totalsRowDxfId="666">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April" displayName="April" ref="B6:AH12" totalsRowCount="1" headerRowDxfId="660" dataDxfId="659" totalsRowDxfId="658">
  <tableColumns count="33">
    <tableColumn id="1" xr3:uid="{00000000-0010-0000-0300-000001000000}" name="Naam van werknemer" totalsRowFunction="custom" dataDxfId="657" totalsRowDxfId="32">
      <totalsRowFormula>MonthName&amp;" totaal"</totalsRowFormula>
    </tableColumn>
    <tableColumn id="2" xr3:uid="{00000000-0010-0000-0300-000002000000}" name="1" totalsRowFunction="count" dataDxfId="656" totalsRowDxfId="31"/>
    <tableColumn id="3" xr3:uid="{00000000-0010-0000-0300-000003000000}" name="2" totalsRowFunction="count" dataDxfId="655" totalsRowDxfId="30"/>
    <tableColumn id="4" xr3:uid="{00000000-0010-0000-0300-000004000000}" name="3" totalsRowFunction="count" dataDxfId="654" totalsRowDxfId="29"/>
    <tableColumn id="5" xr3:uid="{00000000-0010-0000-0300-000005000000}" name="4" totalsRowFunction="count" dataDxfId="653" totalsRowDxfId="28"/>
    <tableColumn id="6" xr3:uid="{00000000-0010-0000-0300-000006000000}" name="5" totalsRowFunction="count" dataDxfId="652" totalsRowDxfId="27"/>
    <tableColumn id="7" xr3:uid="{00000000-0010-0000-0300-000007000000}" name="6" totalsRowFunction="count" dataDxfId="651" totalsRowDxfId="26"/>
    <tableColumn id="8" xr3:uid="{00000000-0010-0000-0300-000008000000}" name="7" totalsRowFunction="count" dataDxfId="650" totalsRowDxfId="25"/>
    <tableColumn id="9" xr3:uid="{00000000-0010-0000-0300-000009000000}" name="8" totalsRowFunction="count" dataDxfId="649" totalsRowDxfId="24"/>
    <tableColumn id="10" xr3:uid="{00000000-0010-0000-0300-00000A000000}" name="9" totalsRowFunction="count" dataDxfId="648" totalsRowDxfId="23"/>
    <tableColumn id="11" xr3:uid="{00000000-0010-0000-0300-00000B000000}" name="10" totalsRowFunction="count" dataDxfId="647" totalsRowDxfId="22"/>
    <tableColumn id="12" xr3:uid="{00000000-0010-0000-0300-00000C000000}" name="11" totalsRowFunction="count" dataDxfId="646" totalsRowDxfId="21"/>
    <tableColumn id="13" xr3:uid="{00000000-0010-0000-0300-00000D000000}" name="12" totalsRowFunction="count" dataDxfId="645" totalsRowDxfId="20"/>
    <tableColumn id="14" xr3:uid="{00000000-0010-0000-0300-00000E000000}" name="13" totalsRowFunction="count" dataDxfId="644" totalsRowDxfId="19"/>
    <tableColumn id="15" xr3:uid="{00000000-0010-0000-0300-00000F000000}" name="14" totalsRowFunction="count" dataDxfId="643" totalsRowDxfId="18"/>
    <tableColumn id="16" xr3:uid="{00000000-0010-0000-0300-000010000000}" name="15" totalsRowFunction="count" dataDxfId="642" totalsRowDxfId="17"/>
    <tableColumn id="17" xr3:uid="{00000000-0010-0000-0300-000011000000}" name="16" totalsRowFunction="count" dataDxfId="641" totalsRowDxfId="16"/>
    <tableColumn id="18" xr3:uid="{00000000-0010-0000-0300-000012000000}" name="17" totalsRowFunction="count" dataDxfId="640" totalsRowDxfId="15"/>
    <tableColumn id="19" xr3:uid="{00000000-0010-0000-0300-000013000000}" name="18" totalsRowFunction="count" dataDxfId="639" totalsRowDxfId="14"/>
    <tableColumn id="20" xr3:uid="{00000000-0010-0000-0300-000014000000}" name="19" totalsRowFunction="count" dataDxfId="638" totalsRowDxfId="13"/>
    <tableColumn id="21" xr3:uid="{00000000-0010-0000-0300-000015000000}" name="20" totalsRowFunction="count" dataDxfId="637" totalsRowDxfId="12"/>
    <tableColumn id="22" xr3:uid="{00000000-0010-0000-0300-000016000000}" name="21" totalsRowFunction="count" dataDxfId="636" totalsRowDxfId="11"/>
    <tableColumn id="23" xr3:uid="{00000000-0010-0000-0300-000017000000}" name="22" totalsRowFunction="count" dataDxfId="635" totalsRowDxfId="10"/>
    <tableColumn id="24" xr3:uid="{00000000-0010-0000-0300-000018000000}" name="23" totalsRowFunction="count" dataDxfId="634" totalsRowDxfId="9"/>
    <tableColumn id="25" xr3:uid="{00000000-0010-0000-0300-000019000000}" name="24" totalsRowFunction="count" dataDxfId="633" totalsRowDxfId="8"/>
    <tableColumn id="26" xr3:uid="{00000000-0010-0000-0300-00001A000000}" name="25" totalsRowFunction="count" dataDxfId="632" totalsRowDxfId="7"/>
    <tableColumn id="27" xr3:uid="{00000000-0010-0000-0300-00001B000000}" name="26" totalsRowFunction="count" dataDxfId="631" totalsRowDxfId="6"/>
    <tableColumn id="28" xr3:uid="{00000000-0010-0000-0300-00001C000000}" name="27" totalsRowFunction="count" dataDxfId="630" totalsRowDxfId="5"/>
    <tableColumn id="29" xr3:uid="{00000000-0010-0000-0300-00001D000000}" name="28" totalsRowFunction="count" dataDxfId="629" totalsRowDxfId="4"/>
    <tableColumn id="30" xr3:uid="{00000000-0010-0000-0300-00001E000000}" name="29" totalsRowFunction="count" dataDxfId="628" totalsRowDxfId="3"/>
    <tableColumn id="31" xr3:uid="{00000000-0010-0000-0300-00001F000000}" name="30" totalsRowFunction="sum" dataDxfId="627" totalsRowDxfId="2"/>
    <tableColumn id="32" xr3:uid="{00000000-0010-0000-0300-000020000000}" name="31" totalsRowFunction="sum" dataDxfId="626" totalsRowDxfId="1"/>
    <tableColumn id="33" xr3:uid="{00000000-0010-0000-0300-000021000000}" name="Totaal aantal dagen" totalsRowFunction="sum" dataDxfId="625" totalsRowDxfId="0">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Mei" displayName="Mei" ref="B6:AH12" totalsRowCount="1" headerRowDxfId="619" dataDxfId="618" totalsRowDxfId="617">
  <tableColumns count="33">
    <tableColumn id="1" xr3:uid="{00000000-0010-0000-0400-000001000000}" name="Naam van werknemer" totalsRowFunction="custom" dataDxfId="616" totalsRowDxfId="615">
      <totalsRowFormula>MonthName&amp;" totaal"</totalsRowFormula>
    </tableColumn>
    <tableColumn id="2" xr3:uid="{00000000-0010-0000-0400-000002000000}" name="1" totalsRowFunction="count" dataDxfId="614" totalsRowDxfId="613"/>
    <tableColumn id="3" xr3:uid="{00000000-0010-0000-0400-000003000000}" name="2" totalsRowFunction="count" dataDxfId="612" totalsRowDxfId="611"/>
    <tableColumn id="4" xr3:uid="{00000000-0010-0000-0400-000004000000}" name="3" totalsRowFunction="count" dataDxfId="610" totalsRowDxfId="609"/>
    <tableColumn id="5" xr3:uid="{00000000-0010-0000-0400-000005000000}" name="4" totalsRowFunction="count" dataDxfId="608" totalsRowDxfId="607"/>
    <tableColumn id="6" xr3:uid="{00000000-0010-0000-0400-000006000000}" name="5" totalsRowFunction="count" dataDxfId="606" totalsRowDxfId="605"/>
    <tableColumn id="7" xr3:uid="{00000000-0010-0000-0400-000007000000}" name="6" totalsRowFunction="count" dataDxfId="604" totalsRowDxfId="603"/>
    <tableColumn id="8" xr3:uid="{00000000-0010-0000-0400-000008000000}" name="7" totalsRowFunction="count" dataDxfId="602" totalsRowDxfId="601"/>
    <tableColumn id="9" xr3:uid="{00000000-0010-0000-0400-000009000000}" name="8" totalsRowFunction="count" dataDxfId="600" totalsRowDxfId="599"/>
    <tableColumn id="10" xr3:uid="{00000000-0010-0000-0400-00000A000000}" name="9" totalsRowFunction="count" dataDxfId="598" totalsRowDxfId="597"/>
    <tableColumn id="11" xr3:uid="{00000000-0010-0000-0400-00000B000000}" name="10" totalsRowFunction="count" dataDxfId="596" totalsRowDxfId="595"/>
    <tableColumn id="12" xr3:uid="{00000000-0010-0000-0400-00000C000000}" name="11" totalsRowFunction="count" dataDxfId="594" totalsRowDxfId="593"/>
    <tableColumn id="13" xr3:uid="{00000000-0010-0000-0400-00000D000000}" name="12" totalsRowFunction="count" dataDxfId="592" totalsRowDxfId="591"/>
    <tableColumn id="14" xr3:uid="{00000000-0010-0000-0400-00000E000000}" name="13" totalsRowFunction="count" dataDxfId="590" totalsRowDxfId="589"/>
    <tableColumn id="15" xr3:uid="{00000000-0010-0000-0400-00000F000000}" name="14" totalsRowFunction="count" dataDxfId="588" totalsRowDxfId="587"/>
    <tableColumn id="16" xr3:uid="{00000000-0010-0000-0400-000010000000}" name="15" totalsRowFunction="count" dataDxfId="586" totalsRowDxfId="585"/>
    <tableColumn id="17" xr3:uid="{00000000-0010-0000-0400-000011000000}" name="16" totalsRowFunction="count" dataDxfId="584" totalsRowDxfId="583"/>
    <tableColumn id="18" xr3:uid="{00000000-0010-0000-0400-000012000000}" name="17" totalsRowFunction="count" dataDxfId="582" totalsRowDxfId="581"/>
    <tableColumn id="19" xr3:uid="{00000000-0010-0000-0400-000013000000}" name="18" totalsRowFunction="count" dataDxfId="580" totalsRowDxfId="579"/>
    <tableColumn id="20" xr3:uid="{00000000-0010-0000-0400-000014000000}" name="19" totalsRowFunction="count" dataDxfId="578" totalsRowDxfId="577"/>
    <tableColumn id="21" xr3:uid="{00000000-0010-0000-0400-000015000000}" name="20" totalsRowFunction="count" dataDxfId="576" totalsRowDxfId="575"/>
    <tableColumn id="22" xr3:uid="{00000000-0010-0000-0400-000016000000}" name="21" totalsRowFunction="count" dataDxfId="574" totalsRowDxfId="573"/>
    <tableColumn id="23" xr3:uid="{00000000-0010-0000-0400-000017000000}" name="22" totalsRowFunction="count" dataDxfId="572" totalsRowDxfId="571"/>
    <tableColumn id="24" xr3:uid="{00000000-0010-0000-0400-000018000000}" name="23" totalsRowFunction="count" dataDxfId="570" totalsRowDxfId="569"/>
    <tableColumn id="25" xr3:uid="{00000000-0010-0000-0400-000019000000}" name="24" totalsRowFunction="count" dataDxfId="568" totalsRowDxfId="567"/>
    <tableColumn id="26" xr3:uid="{00000000-0010-0000-0400-00001A000000}" name="25" totalsRowFunction="count" dataDxfId="566" totalsRowDxfId="565"/>
    <tableColumn id="27" xr3:uid="{00000000-0010-0000-0400-00001B000000}" name="26" totalsRowFunction="count" dataDxfId="564" totalsRowDxfId="563"/>
    <tableColumn id="28" xr3:uid="{00000000-0010-0000-0400-00001C000000}" name="27" totalsRowFunction="count" dataDxfId="562" totalsRowDxfId="561"/>
    <tableColumn id="29" xr3:uid="{00000000-0010-0000-0400-00001D000000}" name="28" totalsRowFunction="count" dataDxfId="560" totalsRowDxfId="559"/>
    <tableColumn id="30" xr3:uid="{00000000-0010-0000-0400-00001E000000}" name="29" totalsRowFunction="count" dataDxfId="558" totalsRowDxfId="557"/>
    <tableColumn id="31" xr3:uid="{00000000-0010-0000-0400-00001F000000}" name="30" totalsRowFunction="sum" dataDxfId="556" totalsRowDxfId="555"/>
    <tableColumn id="32" xr3:uid="{00000000-0010-0000-0400-000020000000}" name="31" totalsRowFunction="sum" dataDxfId="554" totalsRowDxfId="553"/>
    <tableColumn id="33" xr3:uid="{00000000-0010-0000-0400-000021000000}" name="Totaal aantal dagen" totalsRowFunction="sum" dataDxfId="552" totalsRowDxfId="551">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Juni" displayName="Juni" ref="B6:AH12" totalsRowCount="1" headerRowDxfId="545" dataDxfId="544" totalsRowDxfId="543">
  <tableColumns count="33">
    <tableColumn id="1" xr3:uid="{00000000-0010-0000-0500-000001000000}" name="Naam van werknemer" totalsRowFunction="custom" dataDxfId="542" totalsRowDxfId="541">
      <totalsRowFormula>MonthName&amp;" totaal"</totalsRowFormula>
    </tableColumn>
    <tableColumn id="2" xr3:uid="{00000000-0010-0000-0500-000002000000}" name="1" totalsRowFunction="count" dataDxfId="540" totalsRowDxfId="539"/>
    <tableColumn id="3" xr3:uid="{00000000-0010-0000-0500-000003000000}" name="2" totalsRowFunction="count" dataDxfId="538" totalsRowDxfId="537"/>
    <tableColumn id="4" xr3:uid="{00000000-0010-0000-0500-000004000000}" name="3" totalsRowFunction="count" dataDxfId="536" totalsRowDxfId="535"/>
    <tableColumn id="5" xr3:uid="{00000000-0010-0000-0500-000005000000}" name="4" totalsRowFunction="count" dataDxfId="534" totalsRowDxfId="533"/>
    <tableColumn id="6" xr3:uid="{00000000-0010-0000-0500-000006000000}" name="5" totalsRowFunction="count" dataDxfId="532" totalsRowDxfId="531"/>
    <tableColumn id="7" xr3:uid="{00000000-0010-0000-0500-000007000000}" name="6" totalsRowFunction="count" dataDxfId="530" totalsRowDxfId="529"/>
    <tableColumn id="8" xr3:uid="{00000000-0010-0000-0500-000008000000}" name="7" totalsRowFunction="count" dataDxfId="528" totalsRowDxfId="527"/>
    <tableColumn id="9" xr3:uid="{00000000-0010-0000-0500-000009000000}" name="8" totalsRowFunction="count" dataDxfId="526" totalsRowDxfId="525"/>
    <tableColumn id="10" xr3:uid="{00000000-0010-0000-0500-00000A000000}" name="9" totalsRowFunction="count" dataDxfId="524" totalsRowDxfId="523"/>
    <tableColumn id="11" xr3:uid="{00000000-0010-0000-0500-00000B000000}" name="10" totalsRowFunction="count" dataDxfId="522" totalsRowDxfId="521"/>
    <tableColumn id="12" xr3:uid="{00000000-0010-0000-0500-00000C000000}" name="11" totalsRowFunction="count" dataDxfId="520" totalsRowDxfId="519"/>
    <tableColumn id="13" xr3:uid="{00000000-0010-0000-0500-00000D000000}" name="12" totalsRowFunction="count" dataDxfId="518" totalsRowDxfId="517"/>
    <tableColumn id="14" xr3:uid="{00000000-0010-0000-0500-00000E000000}" name="13" totalsRowFunction="count" dataDxfId="516" totalsRowDxfId="515"/>
    <tableColumn id="15" xr3:uid="{00000000-0010-0000-0500-00000F000000}" name="14" totalsRowFunction="count" dataDxfId="514" totalsRowDxfId="513"/>
    <tableColumn id="16" xr3:uid="{00000000-0010-0000-0500-000010000000}" name="15" totalsRowFunction="count" dataDxfId="512" totalsRowDxfId="511"/>
    <tableColumn id="17" xr3:uid="{00000000-0010-0000-0500-000011000000}" name="16" totalsRowFunction="count" dataDxfId="510" totalsRowDxfId="509"/>
    <tableColumn id="18" xr3:uid="{00000000-0010-0000-0500-000012000000}" name="17" totalsRowFunction="count" dataDxfId="508" totalsRowDxfId="507"/>
    <tableColumn id="19" xr3:uid="{00000000-0010-0000-0500-000013000000}" name="18" totalsRowFunction="count" dataDxfId="506" totalsRowDxfId="505"/>
    <tableColumn id="20" xr3:uid="{00000000-0010-0000-0500-000014000000}" name="19" totalsRowFunction="count" dataDxfId="504" totalsRowDxfId="503"/>
    <tableColumn id="21" xr3:uid="{00000000-0010-0000-0500-000015000000}" name="20" totalsRowFunction="count" dataDxfId="502" totalsRowDxfId="501"/>
    <tableColumn id="22" xr3:uid="{00000000-0010-0000-0500-000016000000}" name="21" totalsRowFunction="count" dataDxfId="500" totalsRowDxfId="499"/>
    <tableColumn id="23" xr3:uid="{00000000-0010-0000-0500-000017000000}" name="22" totalsRowFunction="count" dataDxfId="498" totalsRowDxfId="497"/>
    <tableColumn id="24" xr3:uid="{00000000-0010-0000-0500-000018000000}" name="23" totalsRowFunction="count" dataDxfId="496" totalsRowDxfId="495"/>
    <tableColumn id="25" xr3:uid="{00000000-0010-0000-0500-000019000000}" name="24" totalsRowFunction="count" dataDxfId="494" totalsRowDxfId="493"/>
    <tableColumn id="26" xr3:uid="{00000000-0010-0000-0500-00001A000000}" name="25" totalsRowFunction="count" dataDxfId="492" totalsRowDxfId="491"/>
    <tableColumn id="27" xr3:uid="{00000000-0010-0000-0500-00001B000000}" name="26" totalsRowFunction="count" dataDxfId="490" totalsRowDxfId="489"/>
    <tableColumn id="28" xr3:uid="{00000000-0010-0000-0500-00001C000000}" name="27" totalsRowFunction="count" dataDxfId="488" totalsRowDxfId="487"/>
    <tableColumn id="29" xr3:uid="{00000000-0010-0000-0500-00001D000000}" name="28" totalsRowFunction="count" dataDxfId="486" totalsRowDxfId="485"/>
    <tableColumn id="30" xr3:uid="{00000000-0010-0000-0500-00001E000000}" name="29" totalsRowFunction="count" dataDxfId="484" totalsRowDxfId="483"/>
    <tableColumn id="31" xr3:uid="{00000000-0010-0000-0500-00001F000000}" name="30" totalsRowFunction="sum" dataDxfId="482" totalsRowDxfId="481"/>
    <tableColumn id="32" xr3:uid="{00000000-0010-0000-0500-000020000000}" name="31" totalsRowFunction="sum" dataDxfId="480" totalsRowDxfId="479"/>
    <tableColumn id="33" xr3:uid="{00000000-0010-0000-0500-000021000000}" name="Totaal aantal dagen" totalsRowFunction="sum" dataDxfId="478" totalsRowDxfId="477">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Juli" displayName="Juli" ref="B6:AH12" totalsRowCount="1" headerRowDxfId="471" dataDxfId="470" totalsRowDxfId="469">
  <tableColumns count="33">
    <tableColumn id="1" xr3:uid="{00000000-0010-0000-0600-000001000000}" name="Naam van werknemer" totalsRowFunction="custom" dataDxfId="468" totalsRowDxfId="467">
      <totalsRowFormula>MonthName&amp;" totaal"</totalsRowFormula>
    </tableColumn>
    <tableColumn id="2" xr3:uid="{00000000-0010-0000-0600-000002000000}" name="1" totalsRowFunction="count" dataDxfId="466" totalsRowDxfId="465"/>
    <tableColumn id="3" xr3:uid="{00000000-0010-0000-0600-000003000000}" name="2" totalsRowFunction="count" dataDxfId="464" totalsRowDxfId="463"/>
    <tableColumn id="4" xr3:uid="{00000000-0010-0000-0600-000004000000}" name="3" totalsRowFunction="count" dataDxfId="462" totalsRowDxfId="461"/>
    <tableColumn id="5" xr3:uid="{00000000-0010-0000-0600-000005000000}" name="4" totalsRowFunction="count" dataDxfId="460" totalsRowDxfId="459"/>
    <tableColumn id="6" xr3:uid="{00000000-0010-0000-0600-000006000000}" name="5" totalsRowFunction="count" dataDxfId="458" totalsRowDxfId="457"/>
    <tableColumn id="7" xr3:uid="{00000000-0010-0000-0600-000007000000}" name="6" totalsRowFunction="count" dataDxfId="456" totalsRowDxfId="455"/>
    <tableColumn id="8" xr3:uid="{00000000-0010-0000-0600-000008000000}" name="7" totalsRowFunction="count" dataDxfId="454" totalsRowDxfId="453"/>
    <tableColumn id="9" xr3:uid="{00000000-0010-0000-0600-000009000000}" name="8" totalsRowFunction="count" dataDxfId="452" totalsRowDxfId="451"/>
    <tableColumn id="10" xr3:uid="{00000000-0010-0000-0600-00000A000000}" name="9" totalsRowFunction="count" dataDxfId="450" totalsRowDxfId="449"/>
    <tableColumn id="11" xr3:uid="{00000000-0010-0000-0600-00000B000000}" name="10" totalsRowFunction="count" dataDxfId="448" totalsRowDxfId="447"/>
    <tableColumn id="12" xr3:uid="{00000000-0010-0000-0600-00000C000000}" name="11" totalsRowFunction="count" dataDxfId="446" totalsRowDxfId="445"/>
    <tableColumn id="13" xr3:uid="{00000000-0010-0000-0600-00000D000000}" name="12" totalsRowFunction="count" dataDxfId="444" totalsRowDxfId="443"/>
    <tableColumn id="14" xr3:uid="{00000000-0010-0000-0600-00000E000000}" name="13" totalsRowFunction="count" dataDxfId="442" totalsRowDxfId="441"/>
    <tableColumn id="15" xr3:uid="{00000000-0010-0000-0600-00000F000000}" name="14" totalsRowFunction="count" dataDxfId="440" totalsRowDxfId="439"/>
    <tableColumn id="16" xr3:uid="{00000000-0010-0000-0600-000010000000}" name="15" totalsRowFunction="count" dataDxfId="438" totalsRowDxfId="437"/>
    <tableColumn id="17" xr3:uid="{00000000-0010-0000-0600-000011000000}" name="16" totalsRowFunction="count" dataDxfId="436" totalsRowDxfId="435"/>
    <tableColumn id="18" xr3:uid="{00000000-0010-0000-0600-000012000000}" name="17" totalsRowFunction="count" dataDxfId="434" totalsRowDxfId="433"/>
    <tableColumn id="19" xr3:uid="{00000000-0010-0000-0600-000013000000}" name="18" totalsRowFunction="count" dataDxfId="432" totalsRowDxfId="431"/>
    <tableColumn id="20" xr3:uid="{00000000-0010-0000-0600-000014000000}" name="19" totalsRowFunction="count" dataDxfId="430" totalsRowDxfId="429"/>
    <tableColumn id="21" xr3:uid="{00000000-0010-0000-0600-000015000000}" name="20" totalsRowFunction="count" dataDxfId="428" totalsRowDxfId="427"/>
    <tableColumn id="22" xr3:uid="{00000000-0010-0000-0600-000016000000}" name="21" totalsRowFunction="count" dataDxfId="426" totalsRowDxfId="425"/>
    <tableColumn id="23" xr3:uid="{00000000-0010-0000-0600-000017000000}" name="22" totalsRowFunction="count" dataDxfId="424" totalsRowDxfId="423"/>
    <tableColumn id="24" xr3:uid="{00000000-0010-0000-0600-000018000000}" name="23" totalsRowFunction="count" dataDxfId="422" totalsRowDxfId="421"/>
    <tableColumn id="25" xr3:uid="{00000000-0010-0000-0600-000019000000}" name="24" totalsRowFunction="count" dataDxfId="420" totalsRowDxfId="419"/>
    <tableColumn id="26" xr3:uid="{00000000-0010-0000-0600-00001A000000}" name="25" totalsRowFunction="count" dataDxfId="418" totalsRowDxfId="417"/>
    <tableColumn id="27" xr3:uid="{00000000-0010-0000-0600-00001B000000}" name="26" totalsRowFunction="count" dataDxfId="416" totalsRowDxfId="415"/>
    <tableColumn id="28" xr3:uid="{00000000-0010-0000-0600-00001C000000}" name="27" totalsRowFunction="count" dataDxfId="414" totalsRowDxfId="413"/>
    <tableColumn id="29" xr3:uid="{00000000-0010-0000-0600-00001D000000}" name="28" totalsRowFunction="count" dataDxfId="412" totalsRowDxfId="411"/>
    <tableColumn id="30" xr3:uid="{00000000-0010-0000-0600-00001E000000}" name="29" totalsRowFunction="count" dataDxfId="410" totalsRowDxfId="409"/>
    <tableColumn id="31" xr3:uid="{00000000-0010-0000-0600-00001F000000}" name="30" totalsRowFunction="sum" dataDxfId="408" totalsRowDxfId="407"/>
    <tableColumn id="32" xr3:uid="{00000000-0010-0000-0600-000020000000}" name="31" totalsRowFunction="sum" dataDxfId="406" totalsRowDxfId="405"/>
    <tableColumn id="33" xr3:uid="{00000000-0010-0000-0600-000021000000}" name="Totaal aantal dagen" totalsRowFunction="sum" dataDxfId="404" totalsRowDxfId="403">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Augustus" displayName="Augustus" ref="B6:AH12" totalsRowCount="1" headerRowDxfId="397" dataDxfId="396" totalsRowDxfId="395">
  <tableColumns count="33">
    <tableColumn id="1" xr3:uid="{00000000-0010-0000-0700-000001000000}" name="Naam van werknemer" totalsRowFunction="custom" dataDxfId="394" totalsRowDxfId="393">
      <totalsRowFormula>MonthName&amp;" totaal"</totalsRowFormula>
    </tableColumn>
    <tableColumn id="2" xr3:uid="{00000000-0010-0000-0700-000002000000}" name="1" totalsRowFunction="count" dataDxfId="392" totalsRowDxfId="391"/>
    <tableColumn id="3" xr3:uid="{00000000-0010-0000-0700-000003000000}" name="2" totalsRowFunction="count" dataDxfId="390" totalsRowDxfId="389"/>
    <tableColumn id="4" xr3:uid="{00000000-0010-0000-0700-000004000000}" name="3" totalsRowFunction="count" dataDxfId="388" totalsRowDxfId="387"/>
    <tableColumn id="5" xr3:uid="{00000000-0010-0000-0700-000005000000}" name="4" totalsRowFunction="count" dataDxfId="386" totalsRowDxfId="385"/>
    <tableColumn id="6" xr3:uid="{00000000-0010-0000-0700-000006000000}" name="5" totalsRowFunction="count" dataDxfId="384" totalsRowDxfId="383"/>
    <tableColumn id="7" xr3:uid="{00000000-0010-0000-0700-000007000000}" name="6" totalsRowFunction="count" dataDxfId="382" totalsRowDxfId="381"/>
    <tableColumn id="8" xr3:uid="{00000000-0010-0000-0700-000008000000}" name="7" totalsRowFunction="count" dataDxfId="380" totalsRowDxfId="379"/>
    <tableColumn id="9" xr3:uid="{00000000-0010-0000-0700-000009000000}" name="8" totalsRowFunction="count" dataDxfId="378" totalsRowDxfId="377"/>
    <tableColumn id="10" xr3:uid="{00000000-0010-0000-0700-00000A000000}" name="9" totalsRowFunction="count" dataDxfId="376" totalsRowDxfId="375"/>
    <tableColumn id="11" xr3:uid="{00000000-0010-0000-0700-00000B000000}" name="10" totalsRowFunction="count" dataDxfId="374" totalsRowDxfId="373"/>
    <tableColumn id="12" xr3:uid="{00000000-0010-0000-0700-00000C000000}" name="11" totalsRowFunction="count" dataDxfId="372" totalsRowDxfId="371"/>
    <tableColumn id="13" xr3:uid="{00000000-0010-0000-0700-00000D000000}" name="12" totalsRowFunction="count" dataDxfId="370" totalsRowDxfId="369"/>
    <tableColumn id="14" xr3:uid="{00000000-0010-0000-0700-00000E000000}" name="13" totalsRowFunction="count" dataDxfId="368" totalsRowDxfId="367"/>
    <tableColumn id="15" xr3:uid="{00000000-0010-0000-0700-00000F000000}" name="14" totalsRowFunction="count" dataDxfId="366" totalsRowDxfId="365"/>
    <tableColumn id="16" xr3:uid="{00000000-0010-0000-0700-000010000000}" name="15" totalsRowFunction="count" dataDxfId="364" totalsRowDxfId="363"/>
    <tableColumn id="17" xr3:uid="{00000000-0010-0000-0700-000011000000}" name="16" totalsRowFunction="count" dataDxfId="362" totalsRowDxfId="361"/>
    <tableColumn id="18" xr3:uid="{00000000-0010-0000-0700-000012000000}" name="17" totalsRowFunction="count" dataDxfId="360" totalsRowDxfId="359"/>
    <tableColumn id="19" xr3:uid="{00000000-0010-0000-0700-000013000000}" name="18" totalsRowFunction="count" dataDxfId="358" totalsRowDxfId="357"/>
    <tableColumn id="20" xr3:uid="{00000000-0010-0000-0700-000014000000}" name="19" totalsRowFunction="count" dataDxfId="356" totalsRowDxfId="355"/>
    <tableColumn id="21" xr3:uid="{00000000-0010-0000-0700-000015000000}" name="20" totalsRowFunction="count" dataDxfId="354" totalsRowDxfId="353"/>
    <tableColumn id="22" xr3:uid="{00000000-0010-0000-0700-000016000000}" name="21" totalsRowFunction="count" dataDxfId="352" totalsRowDxfId="351"/>
    <tableColumn id="23" xr3:uid="{00000000-0010-0000-0700-000017000000}" name="22" totalsRowFunction="count" dataDxfId="350" totalsRowDxfId="349"/>
    <tableColumn id="24" xr3:uid="{00000000-0010-0000-0700-000018000000}" name="23" totalsRowFunction="count" dataDxfId="348" totalsRowDxfId="347"/>
    <tableColumn id="25" xr3:uid="{00000000-0010-0000-0700-000019000000}" name="24" totalsRowFunction="count" dataDxfId="346" totalsRowDxfId="345"/>
    <tableColumn id="26" xr3:uid="{00000000-0010-0000-0700-00001A000000}" name="25" totalsRowFunction="count" dataDxfId="344" totalsRowDxfId="343"/>
    <tableColumn id="27" xr3:uid="{00000000-0010-0000-0700-00001B000000}" name="26" totalsRowFunction="count" dataDxfId="342" totalsRowDxfId="341"/>
    <tableColumn id="28" xr3:uid="{00000000-0010-0000-0700-00001C000000}" name="27" totalsRowFunction="count" dataDxfId="340" totalsRowDxfId="339"/>
    <tableColumn id="29" xr3:uid="{00000000-0010-0000-0700-00001D000000}" name="28" totalsRowFunction="count" dataDxfId="338" totalsRowDxfId="337"/>
    <tableColumn id="30" xr3:uid="{00000000-0010-0000-0700-00001E000000}" name="29" totalsRowFunction="count" dataDxfId="336" totalsRowDxfId="335"/>
    <tableColumn id="31" xr3:uid="{00000000-0010-0000-0700-00001F000000}" name="30" totalsRowFunction="sum" dataDxfId="334" totalsRowDxfId="333"/>
    <tableColumn id="32" xr3:uid="{00000000-0010-0000-0700-000020000000}" name="31" totalsRowFunction="sum" dataDxfId="332" totalsRowDxfId="331"/>
    <tableColumn id="33" xr3:uid="{00000000-0010-0000-0700-000021000000}" name="Totaal aantal dagen" totalsRowFunction="sum" dataDxfId="330" totalsRowDxfId="329">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September" displayName="September" ref="B6:AH12" totalsRowCount="1" headerRowDxfId="323" dataDxfId="322" totalsRowDxfId="321">
  <tableColumns count="33">
    <tableColumn id="1" xr3:uid="{00000000-0010-0000-0800-000001000000}" name="Naam van werknemer" totalsRowFunction="custom" dataDxfId="320" totalsRowDxfId="319">
      <totalsRowFormula>MonthName&amp;" totaal"</totalsRowFormula>
    </tableColumn>
    <tableColumn id="2" xr3:uid="{00000000-0010-0000-0800-000002000000}" name="1" totalsRowFunction="count" dataDxfId="318" totalsRowDxfId="317"/>
    <tableColumn id="3" xr3:uid="{00000000-0010-0000-0800-000003000000}" name="2" totalsRowFunction="count" dataDxfId="316" totalsRowDxfId="315"/>
    <tableColumn id="4" xr3:uid="{00000000-0010-0000-0800-000004000000}" name="3" totalsRowFunction="count" dataDxfId="314" totalsRowDxfId="313"/>
    <tableColumn id="5" xr3:uid="{00000000-0010-0000-0800-000005000000}" name="4" totalsRowFunction="count" dataDxfId="312" totalsRowDxfId="311"/>
    <tableColumn id="6" xr3:uid="{00000000-0010-0000-0800-000006000000}" name="5" totalsRowFunction="count" dataDxfId="310" totalsRowDxfId="309"/>
    <tableColumn id="7" xr3:uid="{00000000-0010-0000-0800-000007000000}" name="6" totalsRowFunction="count" dataDxfId="308" totalsRowDxfId="307"/>
    <tableColumn id="8" xr3:uid="{00000000-0010-0000-0800-000008000000}" name="7" totalsRowFunction="count" dataDxfId="306" totalsRowDxfId="305"/>
    <tableColumn id="9" xr3:uid="{00000000-0010-0000-0800-000009000000}" name="8" totalsRowFunction="count" dataDxfId="304" totalsRowDxfId="303"/>
    <tableColumn id="10" xr3:uid="{00000000-0010-0000-0800-00000A000000}" name="9" totalsRowFunction="count" dataDxfId="302" totalsRowDxfId="301"/>
    <tableColumn id="11" xr3:uid="{00000000-0010-0000-0800-00000B000000}" name="10" totalsRowFunction="count" dataDxfId="300" totalsRowDxfId="299"/>
    <tableColumn id="12" xr3:uid="{00000000-0010-0000-0800-00000C000000}" name="11" totalsRowFunction="count" dataDxfId="298" totalsRowDxfId="297"/>
    <tableColumn id="13" xr3:uid="{00000000-0010-0000-0800-00000D000000}" name="12" totalsRowFunction="count" dataDxfId="296" totalsRowDxfId="295"/>
    <tableColumn id="14" xr3:uid="{00000000-0010-0000-0800-00000E000000}" name="13" totalsRowFunction="count" dataDxfId="294" totalsRowDxfId="293"/>
    <tableColumn id="15" xr3:uid="{00000000-0010-0000-0800-00000F000000}" name="14" totalsRowFunction="count" dataDxfId="292" totalsRowDxfId="291"/>
    <tableColumn id="16" xr3:uid="{00000000-0010-0000-0800-000010000000}" name="15" totalsRowFunction="count" dataDxfId="290" totalsRowDxfId="289"/>
    <tableColumn id="17" xr3:uid="{00000000-0010-0000-0800-000011000000}" name="16" totalsRowFunction="count" dataDxfId="288" totalsRowDxfId="287"/>
    <tableColumn id="18" xr3:uid="{00000000-0010-0000-0800-000012000000}" name="17" totalsRowFunction="count" dataDxfId="286" totalsRowDxfId="285"/>
    <tableColumn id="19" xr3:uid="{00000000-0010-0000-0800-000013000000}" name="18" totalsRowFunction="count" dataDxfId="284" totalsRowDxfId="283"/>
    <tableColumn id="20" xr3:uid="{00000000-0010-0000-0800-000014000000}" name="19" totalsRowFunction="count" dataDxfId="282" totalsRowDxfId="281"/>
    <tableColumn id="21" xr3:uid="{00000000-0010-0000-0800-000015000000}" name="20" totalsRowFunction="count" dataDxfId="280" totalsRowDxfId="279"/>
    <tableColumn id="22" xr3:uid="{00000000-0010-0000-0800-000016000000}" name="21" totalsRowFunction="count" dataDxfId="278" totalsRowDxfId="277"/>
    <tableColumn id="23" xr3:uid="{00000000-0010-0000-0800-000017000000}" name="22" totalsRowFunction="count" dataDxfId="276" totalsRowDxfId="275"/>
    <tableColumn id="24" xr3:uid="{00000000-0010-0000-0800-000018000000}" name="23" totalsRowFunction="count" dataDxfId="274" totalsRowDxfId="273"/>
    <tableColumn id="25" xr3:uid="{00000000-0010-0000-0800-000019000000}" name="24" totalsRowFunction="count" dataDxfId="272" totalsRowDxfId="271"/>
    <tableColumn id="26" xr3:uid="{00000000-0010-0000-0800-00001A000000}" name="25" totalsRowFunction="count" dataDxfId="270" totalsRowDxfId="269"/>
    <tableColumn id="27" xr3:uid="{00000000-0010-0000-0800-00001B000000}" name="26" totalsRowFunction="count" dataDxfId="268" totalsRowDxfId="267"/>
    <tableColumn id="28" xr3:uid="{00000000-0010-0000-0800-00001C000000}" name="27" totalsRowFunction="count" dataDxfId="266" totalsRowDxfId="265"/>
    <tableColumn id="29" xr3:uid="{00000000-0010-0000-0800-00001D000000}" name="28" totalsRowFunction="count" dataDxfId="264" totalsRowDxfId="263"/>
    <tableColumn id="30" xr3:uid="{00000000-0010-0000-0800-00001E000000}" name="29" totalsRowFunction="count" dataDxfId="262" totalsRowDxfId="261"/>
    <tableColumn id="31" xr3:uid="{00000000-0010-0000-0800-00001F000000}" name="30" totalsRowFunction="sum" dataDxfId="260" totalsRowDxfId="259"/>
    <tableColumn id="32" xr3:uid="{00000000-0010-0000-0800-000020000000}" name="31" totalsRowFunction="sum" dataDxfId="258" totalsRowDxfId="257"/>
    <tableColumn id="33" xr3:uid="{00000000-0010-0000-0800-000021000000}" name="Totaal aantal dagen" totalsRowFunction="sum" dataDxfId="256" totalsRowDxfId="255">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0.89999084444715716"/>
    <pageSetUpPr fitToPage="1"/>
  </sheetPr>
  <dimension ref="A1:AH12"/>
  <sheetViews>
    <sheetView showGridLines="0" tabSelected="1"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1:34" ht="50.1" customHeight="1" x14ac:dyDescent="0.25">
      <c r="A1" s="14"/>
      <c r="B1" s="11" t="s">
        <v>0</v>
      </c>
    </row>
    <row r="2" spans="1: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1:34" ht="15" customHeight="1" x14ac:dyDescent="0.25">
      <c r="AH3" s="16" t="s">
        <v>49</v>
      </c>
    </row>
    <row r="4" spans="1:34" ht="30" customHeight="1" x14ac:dyDescent="0.25">
      <c r="B4" s="9" t="s">
        <v>2</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v>2016</v>
      </c>
    </row>
    <row r="5" spans="1:34" ht="15" customHeight="1" x14ac:dyDescent="0.25">
      <c r="B5" s="9"/>
      <c r="C5" s="2" t="str">
        <f>TEXT(WEEKDAY(DATE(CalendarYear,1,1),1),"aaa")</f>
        <v>vr</v>
      </c>
      <c r="D5" s="2" t="str">
        <f>TEXT(WEEKDAY(DATE(CalendarYear,1,2),1),"aaa")</f>
        <v>za</v>
      </c>
      <c r="E5" s="2" t="str">
        <f>TEXT(WEEKDAY(DATE(CalendarYear,1,3),1),"aaa")</f>
        <v>zo</v>
      </c>
      <c r="F5" s="2" t="str">
        <f>TEXT(WEEKDAY(DATE(CalendarYear,1,4),1),"aaa")</f>
        <v>ma</v>
      </c>
      <c r="G5" s="2" t="str">
        <f>TEXT(WEEKDAY(DATE(CalendarYear,1,5),1),"aaa")</f>
        <v>di</v>
      </c>
      <c r="H5" s="2" t="str">
        <f>TEXT(WEEKDAY(DATE(CalendarYear,1,6),1),"aaa")</f>
        <v>wo</v>
      </c>
      <c r="I5" s="2" t="str">
        <f>TEXT(WEEKDAY(DATE(CalendarYear,1,7),1),"aaa")</f>
        <v>do</v>
      </c>
      <c r="J5" s="2" t="str">
        <f>TEXT(WEEKDAY(DATE(CalendarYear,1,8),1),"aaa")</f>
        <v>vr</v>
      </c>
      <c r="K5" s="2" t="str">
        <f>TEXT(WEEKDAY(DATE(CalendarYear,1,9),1),"aaa")</f>
        <v>za</v>
      </c>
      <c r="L5" s="2" t="str">
        <f>TEXT(WEEKDAY(DATE(CalendarYear,1,10),1),"aaa")</f>
        <v>zo</v>
      </c>
      <c r="M5" s="2" t="str">
        <f>TEXT(WEEKDAY(DATE(CalendarYear,1,11),1),"aaa")</f>
        <v>ma</v>
      </c>
      <c r="N5" s="2" t="str">
        <f>TEXT(WEEKDAY(DATE(CalendarYear,1,12),1),"aaa")</f>
        <v>di</v>
      </c>
      <c r="O5" s="2" t="str">
        <f>TEXT(WEEKDAY(DATE(CalendarYear,1,13),1),"aaa")</f>
        <v>wo</v>
      </c>
      <c r="P5" s="2" t="str">
        <f>TEXT(WEEKDAY(DATE(CalendarYear,1,14),1),"aaa")</f>
        <v>do</v>
      </c>
      <c r="Q5" s="2" t="str">
        <f>TEXT(WEEKDAY(DATE(CalendarYear,1,15),1),"aaa")</f>
        <v>vr</v>
      </c>
      <c r="R5" s="2" t="str">
        <f>TEXT(WEEKDAY(DATE(CalendarYear,1,16),1),"aaa")</f>
        <v>za</v>
      </c>
      <c r="S5" s="2" t="str">
        <f>TEXT(WEEKDAY(DATE(CalendarYear,1,17),1),"aaa")</f>
        <v>zo</v>
      </c>
      <c r="T5" s="2" t="str">
        <f>TEXT(WEEKDAY(DATE(CalendarYear,1,18),1),"aaa")</f>
        <v>ma</v>
      </c>
      <c r="U5" s="2" t="str">
        <f>TEXT(WEEKDAY(DATE(CalendarYear,1,19),1),"aaa")</f>
        <v>di</v>
      </c>
      <c r="V5" s="2" t="str">
        <f>TEXT(WEEKDAY(DATE(CalendarYear,1,20),1),"aaa")</f>
        <v>wo</v>
      </c>
      <c r="W5" s="2" t="str">
        <f>TEXT(WEEKDAY(DATE(CalendarYear,1,21),1),"aaa")</f>
        <v>do</v>
      </c>
      <c r="X5" s="2" t="str">
        <f>TEXT(WEEKDAY(DATE(CalendarYear,1,22),1),"aaa")</f>
        <v>vr</v>
      </c>
      <c r="Y5" s="2" t="str">
        <f>TEXT(WEEKDAY(DATE(CalendarYear,1,23),1),"aaa")</f>
        <v>za</v>
      </c>
      <c r="Z5" s="2" t="str">
        <f>TEXT(WEEKDAY(DATE(CalendarYear,1,24),1),"aaa")</f>
        <v>zo</v>
      </c>
      <c r="AA5" s="2" t="str">
        <f>TEXT(WEEKDAY(DATE(CalendarYear,1,25),1),"aaa")</f>
        <v>ma</v>
      </c>
      <c r="AB5" s="2" t="str">
        <f>TEXT(WEEKDAY(DATE(CalendarYear,1,26),1),"aaa")</f>
        <v>di</v>
      </c>
      <c r="AC5" s="2" t="str">
        <f>TEXT(WEEKDAY(DATE(CalendarYear,1,27),1),"aaa")</f>
        <v>wo</v>
      </c>
      <c r="AD5" s="2" t="str">
        <f>TEXT(WEEKDAY(DATE(CalendarYear,1,28),1),"aaa")</f>
        <v>do</v>
      </c>
      <c r="AE5" s="2" t="str">
        <f>TEXT(WEEKDAY(DATE(CalendarYear,1,29),1),"aaa")</f>
        <v>vr</v>
      </c>
      <c r="AF5" s="2" t="str">
        <f>TEXT(WEEKDAY(DATE(CalendarYear,1,30),1),"aaa")</f>
        <v>za</v>
      </c>
      <c r="AG5" s="2" t="str">
        <f>TEXT(WEEKDAY(DATE(CalendarYear,1,31),1),"aaa")</f>
        <v>zo</v>
      </c>
      <c r="AH5" s="9"/>
    </row>
    <row r="6" spans="1: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1:34" ht="30" customHeight="1" x14ac:dyDescent="0.25">
      <c r="B7" s="1" t="s">
        <v>4</v>
      </c>
      <c r="C7" s="2"/>
      <c r="D7" s="2"/>
      <c r="E7" s="2" t="s">
        <v>9</v>
      </c>
      <c r="F7" s="2" t="s">
        <v>9</v>
      </c>
      <c r="G7" s="2" t="s">
        <v>9</v>
      </c>
      <c r="H7" s="2" t="s">
        <v>9</v>
      </c>
      <c r="I7" s="2"/>
      <c r="J7" s="2"/>
      <c r="K7" s="2"/>
      <c r="L7" s="2"/>
      <c r="M7" s="2"/>
      <c r="N7" s="2"/>
      <c r="O7" s="2" t="s">
        <v>9</v>
      </c>
      <c r="P7" s="2"/>
      <c r="Q7" s="2"/>
      <c r="R7" s="2"/>
      <c r="S7" s="2"/>
      <c r="T7" s="2"/>
      <c r="U7" s="2"/>
      <c r="V7" s="2"/>
      <c r="W7" s="2"/>
      <c r="X7" s="2"/>
      <c r="Y7" s="2"/>
      <c r="Z7" s="2"/>
      <c r="AA7" s="2"/>
      <c r="AB7" s="2"/>
      <c r="AC7" s="2"/>
      <c r="AD7" s="2"/>
      <c r="AE7" s="2"/>
      <c r="AF7" s="2"/>
      <c r="AG7" s="2"/>
      <c r="AH7" s="8">
        <f>COUNTA(Januari!$C7:$AG7)</f>
        <v>5</v>
      </c>
    </row>
    <row r="8" spans="1:34" ht="30" customHeight="1" x14ac:dyDescent="0.25">
      <c r="B8" s="1" t="s">
        <v>5</v>
      </c>
      <c r="C8" s="2"/>
      <c r="D8" s="2"/>
      <c r="E8" s="2"/>
      <c r="F8" s="2"/>
      <c r="G8" s="2" t="s">
        <v>17</v>
      </c>
      <c r="H8" s="2" t="s">
        <v>17</v>
      </c>
      <c r="I8" s="2"/>
      <c r="J8" s="2"/>
      <c r="K8" s="2"/>
      <c r="L8" s="2"/>
      <c r="M8" s="2" t="s">
        <v>15</v>
      </c>
      <c r="N8" s="2"/>
      <c r="O8" s="2"/>
      <c r="P8" s="2"/>
      <c r="Q8" s="2"/>
      <c r="R8" s="2"/>
      <c r="S8" s="2"/>
      <c r="T8" s="2"/>
      <c r="U8" s="2"/>
      <c r="V8" s="2" t="s">
        <v>17</v>
      </c>
      <c r="W8" s="2"/>
      <c r="X8" s="2"/>
      <c r="Y8" s="2"/>
      <c r="Z8" s="2"/>
      <c r="AA8" s="2" t="s">
        <v>9</v>
      </c>
      <c r="AB8" s="2" t="s">
        <v>9</v>
      </c>
      <c r="AC8" s="2" t="s">
        <v>9</v>
      </c>
      <c r="AD8" s="2"/>
      <c r="AE8" s="2"/>
      <c r="AF8" s="2"/>
      <c r="AG8" s="2"/>
      <c r="AH8" s="8">
        <f>COUNTA(Januari!$C8:$AG8)</f>
        <v>7</v>
      </c>
    </row>
    <row r="9" spans="1:34" ht="30" customHeight="1" x14ac:dyDescent="0.25">
      <c r="B9" s="1" t="s">
        <v>6</v>
      </c>
      <c r="C9" s="2"/>
      <c r="D9" s="2"/>
      <c r="E9" s="2" t="s">
        <v>15</v>
      </c>
      <c r="F9" s="2"/>
      <c r="G9" s="2"/>
      <c r="H9" s="2"/>
      <c r="I9" s="2"/>
      <c r="J9" s="2"/>
      <c r="K9" s="2"/>
      <c r="L9" s="2"/>
      <c r="M9" s="2"/>
      <c r="N9" s="2"/>
      <c r="O9" s="2"/>
      <c r="P9" s="2" t="s">
        <v>17</v>
      </c>
      <c r="Q9" s="2"/>
      <c r="R9" s="2"/>
      <c r="S9" s="2"/>
      <c r="T9" s="2"/>
      <c r="U9" s="2"/>
      <c r="V9" s="2"/>
      <c r="W9" s="2"/>
      <c r="X9" s="2"/>
      <c r="Y9" s="2"/>
      <c r="Z9" s="2"/>
      <c r="AA9" s="2"/>
      <c r="AB9" s="2"/>
      <c r="AC9" s="2"/>
      <c r="AD9" s="2"/>
      <c r="AE9" s="2" t="s">
        <v>17</v>
      </c>
      <c r="AF9" s="2"/>
      <c r="AG9" s="2"/>
      <c r="AH9" s="8">
        <f>COUNTA(Januari!$C9:$AG9)</f>
        <v>3</v>
      </c>
    </row>
    <row r="10" spans="1:34" ht="30" customHeight="1" x14ac:dyDescent="0.25">
      <c r="B10" s="1" t="s">
        <v>7</v>
      </c>
      <c r="C10" s="2"/>
      <c r="D10" s="2"/>
      <c r="E10" s="2"/>
      <c r="F10" s="2"/>
      <c r="G10" s="2"/>
      <c r="H10" s="2"/>
      <c r="I10" s="2" t="s">
        <v>15</v>
      </c>
      <c r="J10" s="2"/>
      <c r="K10" s="2"/>
      <c r="L10" s="2"/>
      <c r="M10" s="2"/>
      <c r="N10" s="2"/>
      <c r="O10" s="2"/>
      <c r="P10" s="2"/>
      <c r="Q10" s="2"/>
      <c r="R10" s="2"/>
      <c r="S10" s="2"/>
      <c r="T10" s="2"/>
      <c r="U10" s="2" t="s">
        <v>9</v>
      </c>
      <c r="V10" s="2" t="s">
        <v>9</v>
      </c>
      <c r="W10" s="2" t="s">
        <v>9</v>
      </c>
      <c r="X10" s="2"/>
      <c r="Y10" s="2"/>
      <c r="Z10" s="2"/>
      <c r="AA10" s="2"/>
      <c r="AB10" s="2"/>
      <c r="AC10" s="2"/>
      <c r="AD10" s="2"/>
      <c r="AE10" s="2"/>
      <c r="AF10" s="2"/>
      <c r="AG10" s="2"/>
      <c r="AH10" s="8">
        <f>COUNTA(Januari!$C10:$AG10)</f>
        <v>4</v>
      </c>
    </row>
    <row r="11" spans="1:34" ht="30" customHeight="1" x14ac:dyDescent="0.25">
      <c r="B11" s="1" t="s">
        <v>8</v>
      </c>
      <c r="C11" s="2"/>
      <c r="D11" s="2"/>
      <c r="E11" s="2"/>
      <c r="F11" s="2" t="s">
        <v>17</v>
      </c>
      <c r="G11" s="2" t="s">
        <v>9</v>
      </c>
      <c r="H11" s="2" t="s">
        <v>9</v>
      </c>
      <c r="I11" s="2"/>
      <c r="J11" s="2"/>
      <c r="K11" s="2"/>
      <c r="L11" s="2"/>
      <c r="M11" s="2"/>
      <c r="N11" s="2"/>
      <c r="O11" s="2"/>
      <c r="P11" s="2"/>
      <c r="Q11" s="2"/>
      <c r="R11" s="2"/>
      <c r="S11" s="2" t="s">
        <v>17</v>
      </c>
      <c r="T11" s="2"/>
      <c r="U11" s="2"/>
      <c r="V11" s="2"/>
      <c r="W11" s="2"/>
      <c r="X11" s="2"/>
      <c r="Y11" s="2"/>
      <c r="Z11" s="2" t="s">
        <v>17</v>
      </c>
      <c r="AA11" s="2"/>
      <c r="AB11" s="2"/>
      <c r="AC11" s="2"/>
      <c r="AD11" s="2"/>
      <c r="AE11" s="2"/>
      <c r="AF11" s="2"/>
      <c r="AG11" s="2" t="s">
        <v>9</v>
      </c>
      <c r="AH11" s="8">
        <f>COUNTA(Januari!$C11:$AG11)</f>
        <v>6</v>
      </c>
    </row>
    <row r="12" spans="1:34" ht="30" customHeight="1" x14ac:dyDescent="0.25">
      <c r="B12" s="17" t="str">
        <f>MonthName&amp;" totaal"</f>
        <v>Januari totaal</v>
      </c>
      <c r="C12" s="10">
        <f>SUBTOTAL(103,Januari!$C$7:$C$11)</f>
        <v>0</v>
      </c>
      <c r="D12" s="10">
        <f>SUBTOTAL(103,Januari!$D$7:$D$11)</f>
        <v>0</v>
      </c>
      <c r="E12" s="10">
        <f>SUBTOTAL(103,Januari!$E$7:$E$11)</f>
        <v>2</v>
      </c>
      <c r="F12" s="10">
        <f>SUBTOTAL(103,Januari!$F$7:$F$11)</f>
        <v>2</v>
      </c>
      <c r="G12" s="10">
        <f>SUBTOTAL(103,Januari!$G$7:$G$11)</f>
        <v>3</v>
      </c>
      <c r="H12" s="10">
        <f>SUBTOTAL(103,Januari!$H$7:$H$11)</f>
        <v>3</v>
      </c>
      <c r="I12" s="10">
        <f>SUBTOTAL(103,Januari!$I$7:$I$11)</f>
        <v>1</v>
      </c>
      <c r="J12" s="10">
        <f>SUBTOTAL(103,Januari!$J$7:$J$11)</f>
        <v>0</v>
      </c>
      <c r="K12" s="10">
        <f>SUBTOTAL(103,Januari!$K$7:$K$11)</f>
        <v>0</v>
      </c>
      <c r="L12" s="10">
        <f>SUBTOTAL(103,Januari!$L$7:$L$11)</f>
        <v>0</v>
      </c>
      <c r="M12" s="10">
        <f>SUBTOTAL(103,Januari!$M$7:$M$11)</f>
        <v>1</v>
      </c>
      <c r="N12" s="10">
        <f>SUBTOTAL(103,Januari!$N$7:$N$11)</f>
        <v>0</v>
      </c>
      <c r="O12" s="10">
        <f>SUBTOTAL(103,Januari!$O$7:$O$11)</f>
        <v>1</v>
      </c>
      <c r="P12" s="10">
        <f>SUBTOTAL(103,Januari!$P$7:$P$11)</f>
        <v>1</v>
      </c>
      <c r="Q12" s="10">
        <f>SUBTOTAL(103,Januari!$Q$7:$Q$11)</f>
        <v>0</v>
      </c>
      <c r="R12" s="10">
        <f>SUBTOTAL(103,Januari!$R$7:$R$11)</f>
        <v>0</v>
      </c>
      <c r="S12" s="10">
        <f>SUBTOTAL(103,Januari!$S$7:$S$11)</f>
        <v>1</v>
      </c>
      <c r="T12" s="10">
        <f>SUBTOTAL(103,Januari!$T$7:$T$11)</f>
        <v>0</v>
      </c>
      <c r="U12" s="10">
        <f>SUBTOTAL(103,Januari!$U$7:$U$11)</f>
        <v>1</v>
      </c>
      <c r="V12" s="10">
        <f>SUBTOTAL(103,Januari!$V$7:$V$11)</f>
        <v>2</v>
      </c>
      <c r="W12" s="10">
        <f>SUBTOTAL(103,Januari!$W$7:$W$11)</f>
        <v>1</v>
      </c>
      <c r="X12" s="10">
        <f>SUBTOTAL(103,Januari!$X$7:$X$11)</f>
        <v>0</v>
      </c>
      <c r="Y12" s="10">
        <f>SUBTOTAL(103,Januari!$Y$7:$Y$11)</f>
        <v>0</v>
      </c>
      <c r="Z12" s="10">
        <f>SUBTOTAL(103,Januari!$Z$7:$Z$11)</f>
        <v>1</v>
      </c>
      <c r="AA12" s="10">
        <f>SUBTOTAL(103,Januari!$AA$7:$AA$11)</f>
        <v>1</v>
      </c>
      <c r="AB12" s="10">
        <f>SUBTOTAL(103,Januari!$AB$7:$AB$11)</f>
        <v>1</v>
      </c>
      <c r="AC12" s="10">
        <f>SUBTOTAL(103,Januari!$AC$7:$AC$11)</f>
        <v>1</v>
      </c>
      <c r="AD12" s="10">
        <f>SUBTOTAL(103,Januari!$AD$7:$AD$11)</f>
        <v>0</v>
      </c>
      <c r="AE12" s="10">
        <f>SUBTOTAL(103,Januari!$AE$7:$AE$11)</f>
        <v>1</v>
      </c>
      <c r="AF12" s="10">
        <f>SUBTOTAL(103,Januari!$AF$7:$AF$11)</f>
        <v>0</v>
      </c>
      <c r="AG12" s="10">
        <f>SUBTOTAL(103,Januari!$AG$7:$AG$11)</f>
        <v>1</v>
      </c>
      <c r="AH12" s="10">
        <f>SUBTOTAL(109,Januari[Totaal aantal dagen])</f>
        <v>25</v>
      </c>
    </row>
  </sheetData>
  <mergeCells count="6">
    <mergeCell ref="C4:AG4"/>
    <mergeCell ref="D2:F2"/>
    <mergeCell ref="H2:J2"/>
    <mergeCell ref="L2:M2"/>
    <mergeCell ref="O2:Q2"/>
    <mergeCell ref="S2:U2"/>
  </mergeCells>
  <conditionalFormatting sqref="C7:AG11">
    <cfRule type="expression" priority="1" stopIfTrue="1">
      <formula>C7=""</formula>
    </cfRule>
    <cfRule type="expression" dxfId="888" priority="6" stopIfTrue="1">
      <formula>C7=KeyCustom2</formula>
    </cfRule>
    <cfRule type="expression" dxfId="887" priority="7" stopIfTrue="1">
      <formula>C7=KeyCustom1</formula>
    </cfRule>
    <cfRule type="expression" dxfId="886" priority="8" stopIfTrue="1">
      <formula>C7=KeySick</formula>
    </cfRule>
    <cfRule type="expression" dxfId="885" priority="9" stopIfTrue="1">
      <formula>C7=KeyPersonal</formula>
    </cfRule>
    <cfRule type="expression" dxfId="884" priority="10" stopIfTrue="1">
      <formula>C7=KeyVacation</formula>
    </cfRule>
  </conditionalFormatting>
  <conditionalFormatting sqref="AH7:AH11">
    <cfRule type="dataBar" priority="168">
      <dataBar>
        <cfvo type="num" val="0"/>
        <cfvo type="num" val="31"/>
        <color theme="2" tint="-0.249977111117893"/>
      </dataBar>
      <extLst>
        <ext xmlns:x14="http://schemas.microsoft.com/office/spreadsheetml/2009/9/main" uri="{B025F937-C7B1-47D3-B67F-A62EFF666E3E}">
          <x14:id>{ECCE2C3C-1B01-4700-B60E-DAAAB19A9C1A}</x14:id>
        </ext>
      </extLst>
    </cfRule>
  </conditionalFormatting>
  <dataValidations count="15">
    <dataValidation allowBlank="1" showInputMessage="1" showErrorMessage="1" prompt="Voer het jaar in deze cel in" sqref="AH4" xr:uid="{00000000-0002-0000-0000-000000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000-000001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000-000002000000}"/>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xr:uid="{00000000-0002-0000-0000-000003000000}"/>
    <dataValidation allowBlank="1" showInputMessage="1" showErrorMessage="1" prompt="Berekent automatisch het totaal aantal dagen dat een werknemer in deze maand niet aanwezig was" sqref="AH6" xr:uid="{00000000-0002-0000-0000-000004000000}"/>
    <dataValidation allowBlank="1" showInputMessage="1" showErrorMessage="1" prompt="De titel van dit werkblad staat in deze cel. Werk de titel bij en de wijziging wordt automatisch overgenomen door elk werkblad" sqref="B1" xr:uid="{00000000-0002-0000-0000-000005000000}"/>
    <dataValidation allowBlank="1" showInputMessage="1" showErrorMessage="1" prompt="Maand van deze afwezigheidsplanning. Werk in cel AH4 het jaar bij. Houd de totalen bij per maand in de laatste cel van de tabel. Voer de werknemersnamen in kolom B in" sqref="B4" xr:uid="{00000000-0002-0000-0000-000006000000}"/>
    <dataValidation allowBlank="1" showInputMessage="1" showErrorMessage="1" prompt="Deze rij definieert de sleutels die worden gebruikt in de tabel: cel C2 is vakantie, G2 is persoonlijk en K2 is ziekteverlof. De cellen N2 en R2 kunnen worden aangepast " sqref="B2" xr:uid="{00000000-0002-0000-0000-000007000000}"/>
    <dataValidation allowBlank="1" showInputMessage="1" showErrorMessage="1" prompt="De letter &quot;V&quot; geeft afwezigheid vanwege vakantie aan" sqref="C2" xr:uid="{00000000-0002-0000-0000-000008000000}"/>
    <dataValidation allowBlank="1" showInputMessage="1" showErrorMessage="1" prompt="De letter &quot;P&quot; geeft afwezigheid vanwege persoonlijke redenen aan" sqref="G2" xr:uid="{00000000-0002-0000-0000-000009000000}"/>
    <dataValidation allowBlank="1" showInputMessage="1" showErrorMessage="1" prompt="De letter &quot;Z&quot; geeft afwezigheid vanwege ziekte aan" sqref="K2" xr:uid="{00000000-0002-0000-0000-00000A000000}"/>
    <dataValidation allowBlank="1" showInputMessage="1" showErrorMessage="1" prompt="Voer een letter in en pas rechts het label aan om een ander sleutelitem toe te voegen" sqref="N2 R2" xr:uid="{00000000-0002-0000-0000-00000B000000}"/>
    <dataValidation allowBlank="1" showInputMessage="1" showErrorMessage="1" prompt="Voer links een label om de aangepaste sleutel te beschrijven in" sqref="O2:Q2 S2:U2" xr:uid="{00000000-0002-0000-0000-00000C000000}"/>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xr:uid="{00000000-0002-0000-0000-00000D000000}"/>
    <dataValidation allowBlank="1" showInputMessage="1" showErrorMessage="1" prompt="Jaar invoeren in de cel onder" sqref="AH3" xr:uid="{00000000-0002-0000-0000-00000E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F000000}">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59</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TEXT(WEEKDAY(DATE(CalendarYear,10,1),1),"aaa")</f>
        <v>za</v>
      </c>
      <c r="D5" s="2" t="str">
        <f>TEXT(WEEKDAY(DATE(CalendarYear,10,2),1),"aaa")</f>
        <v>zo</v>
      </c>
      <c r="E5" s="2" t="str">
        <f>TEXT(WEEKDAY(DATE(CalendarYear,10,3),1),"aaa")</f>
        <v>ma</v>
      </c>
      <c r="F5" s="2" t="str">
        <f>TEXT(WEEKDAY(DATE(CalendarYear,10,4),1),"aaa")</f>
        <v>di</v>
      </c>
      <c r="G5" s="2" t="str">
        <f>TEXT(WEEKDAY(DATE(CalendarYear,10,5),1),"aaa")</f>
        <v>wo</v>
      </c>
      <c r="H5" s="2" t="str">
        <f>TEXT(WEEKDAY(DATE(CalendarYear,10,6),1),"aaa")</f>
        <v>do</v>
      </c>
      <c r="I5" s="2" t="str">
        <f>TEXT(WEEKDAY(DATE(CalendarYear,10,7),1),"aaa")</f>
        <v>vr</v>
      </c>
      <c r="J5" s="2" t="str">
        <f>TEXT(WEEKDAY(DATE(CalendarYear,10,8),1),"aaa")</f>
        <v>za</v>
      </c>
      <c r="K5" s="2" t="str">
        <f>TEXT(WEEKDAY(DATE(CalendarYear,10,9),1),"aaa")</f>
        <v>zo</v>
      </c>
      <c r="L5" s="2" t="str">
        <f>TEXT(WEEKDAY(DATE(CalendarYear,10,10),1),"aaa")</f>
        <v>ma</v>
      </c>
      <c r="M5" s="2" t="str">
        <f>TEXT(WEEKDAY(DATE(CalendarYear,10,11),1),"aaa")</f>
        <v>di</v>
      </c>
      <c r="N5" s="2" t="str">
        <f>TEXT(WEEKDAY(DATE(CalendarYear,10,12),1),"aaa")</f>
        <v>wo</v>
      </c>
      <c r="O5" s="2" t="str">
        <f>TEXT(WEEKDAY(DATE(CalendarYear,10,13),1),"aaa")</f>
        <v>do</v>
      </c>
      <c r="P5" s="2" t="str">
        <f>TEXT(WEEKDAY(DATE(CalendarYear,10,14),1),"aaa")</f>
        <v>vr</v>
      </c>
      <c r="Q5" s="2" t="str">
        <f>TEXT(WEEKDAY(DATE(CalendarYear,10,15),1),"aaa")</f>
        <v>za</v>
      </c>
      <c r="R5" s="2" t="str">
        <f>TEXT(WEEKDAY(DATE(CalendarYear,10,16),1),"aaa")</f>
        <v>zo</v>
      </c>
      <c r="S5" s="2" t="str">
        <f>TEXT(WEEKDAY(DATE(CalendarYear,10,17),1),"aaa")</f>
        <v>ma</v>
      </c>
      <c r="T5" s="2" t="str">
        <f>TEXT(WEEKDAY(DATE(CalendarYear,10,18),1),"aaa")</f>
        <v>di</v>
      </c>
      <c r="U5" s="2" t="str">
        <f>TEXT(WEEKDAY(DATE(CalendarYear,10,19),1),"aaa")</f>
        <v>wo</v>
      </c>
      <c r="V5" s="2" t="str">
        <f>TEXT(WEEKDAY(DATE(CalendarYear,10,20),1),"aaa")</f>
        <v>do</v>
      </c>
      <c r="W5" s="2" t="str">
        <f>TEXT(WEEKDAY(DATE(CalendarYear,10,21),1),"aaa")</f>
        <v>vr</v>
      </c>
      <c r="X5" s="2" t="str">
        <f>TEXT(WEEKDAY(DATE(CalendarYear,10,22),1),"aaa")</f>
        <v>za</v>
      </c>
      <c r="Y5" s="2" t="str">
        <f>TEXT(WEEKDAY(DATE(CalendarYear,10,23),1),"aaa")</f>
        <v>zo</v>
      </c>
      <c r="Z5" s="2" t="str">
        <f>TEXT(WEEKDAY(DATE(CalendarYear,10,24),1),"aaa")</f>
        <v>ma</v>
      </c>
      <c r="AA5" s="2" t="str">
        <f>TEXT(WEEKDAY(DATE(CalendarYear,10,25),1),"aaa")</f>
        <v>di</v>
      </c>
      <c r="AB5" s="2" t="str">
        <f>TEXT(WEEKDAY(DATE(CalendarYear,10,26),1),"aaa")</f>
        <v>wo</v>
      </c>
      <c r="AC5" s="2" t="str">
        <f>TEXT(WEEKDAY(DATE(CalendarYear,10,27),1),"aaa")</f>
        <v>do</v>
      </c>
      <c r="AD5" s="2" t="str">
        <f>TEXT(WEEKDAY(DATE(CalendarYear,10,28),1),"aaa")</f>
        <v>vr</v>
      </c>
      <c r="AE5" s="2" t="str">
        <f>TEXT(WEEKDAY(DATE(CalendarYear,10,29),1),"aaa")</f>
        <v>za</v>
      </c>
      <c r="AF5" s="2" t="str">
        <f>TEXT(WEEKDAY(DATE(CalendarYear,10,30),1),"aaa")</f>
        <v>zo</v>
      </c>
      <c r="AG5" s="2" t="str">
        <f>TEXT(WEEKDAY(DATE(CalendarYear,10,31),1),"aaa")</f>
        <v>ma</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COUNTA(Oktober[[#This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COUNTA(Oktober[[#This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COUNTA(Oktober[[#This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COUNTA(Oktober[[#This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COUNTA(Oktober[[#This Row],[1]:[31]])</f>
        <v>0</v>
      </c>
    </row>
    <row r="12" spans="2:34" ht="30" customHeight="1" x14ac:dyDescent="0.25">
      <c r="B12" s="17" t="str">
        <f>MonthName&amp;" totaal"</f>
        <v>Oktober totaal</v>
      </c>
      <c r="C12" s="10">
        <f>SUBTOTAL(103,Oktober[1])</f>
        <v>0</v>
      </c>
      <c r="D12" s="10">
        <f>SUBTOTAL(103,Oktober[2])</f>
        <v>0</v>
      </c>
      <c r="E12" s="10">
        <f>SUBTOTAL(103,Oktober[3])</f>
        <v>0</v>
      </c>
      <c r="F12" s="10">
        <f>SUBTOTAL(103,Oktober[4])</f>
        <v>0</v>
      </c>
      <c r="G12" s="10">
        <f>SUBTOTAL(103,Oktober[5])</f>
        <v>0</v>
      </c>
      <c r="H12" s="10">
        <f>SUBTOTAL(103,Oktober[6])</f>
        <v>0</v>
      </c>
      <c r="I12" s="10">
        <f>SUBTOTAL(103,Oktober[7])</f>
        <v>0</v>
      </c>
      <c r="J12" s="10">
        <f>SUBTOTAL(103,Oktober[8])</f>
        <v>0</v>
      </c>
      <c r="K12" s="10">
        <f>SUBTOTAL(103,Oktober[9])</f>
        <v>0</v>
      </c>
      <c r="L12" s="10">
        <f>SUBTOTAL(103,Oktober[10])</f>
        <v>0</v>
      </c>
      <c r="M12" s="10">
        <f>SUBTOTAL(103,Oktober[11])</f>
        <v>0</v>
      </c>
      <c r="N12" s="10">
        <f>SUBTOTAL(103,Oktober[12])</f>
        <v>0</v>
      </c>
      <c r="O12" s="10">
        <f>SUBTOTAL(103,Oktober[13])</f>
        <v>0</v>
      </c>
      <c r="P12" s="10">
        <f>SUBTOTAL(103,Oktober[14])</f>
        <v>0</v>
      </c>
      <c r="Q12" s="10">
        <f>SUBTOTAL(103,Oktober[15])</f>
        <v>0</v>
      </c>
      <c r="R12" s="10">
        <f>SUBTOTAL(103,Oktober[16])</f>
        <v>0</v>
      </c>
      <c r="S12" s="10">
        <f>SUBTOTAL(103,Oktober[17])</f>
        <v>0</v>
      </c>
      <c r="T12" s="10">
        <f>SUBTOTAL(103,Oktober[18])</f>
        <v>0</v>
      </c>
      <c r="U12" s="10">
        <f>SUBTOTAL(103,Oktober[19])</f>
        <v>0</v>
      </c>
      <c r="V12" s="10">
        <f>SUBTOTAL(103,Oktober[20])</f>
        <v>0</v>
      </c>
      <c r="W12" s="10">
        <f>SUBTOTAL(103,Oktober[21])</f>
        <v>0</v>
      </c>
      <c r="X12" s="10">
        <f>SUBTOTAL(103,Oktober[22])</f>
        <v>0</v>
      </c>
      <c r="Y12" s="10">
        <f>SUBTOTAL(103,Oktober[23])</f>
        <v>0</v>
      </c>
      <c r="Z12" s="10">
        <f>SUBTOTAL(103,Oktober[24])</f>
        <v>0</v>
      </c>
      <c r="AA12" s="10">
        <f>SUBTOTAL(103,Oktober[25])</f>
        <v>0</v>
      </c>
      <c r="AB12" s="10">
        <f>SUBTOTAL(103,Oktober[26])</f>
        <v>0</v>
      </c>
      <c r="AC12" s="10">
        <f>SUBTOTAL(103,Oktober[27])</f>
        <v>0</v>
      </c>
      <c r="AD12" s="10">
        <f>SUBTOTAL(103,Oktober[28])</f>
        <v>0</v>
      </c>
      <c r="AE12" s="10">
        <f>SUBTOTAL(103,Oktober[29])</f>
        <v>0</v>
      </c>
      <c r="AF12" s="10">
        <f>SUBTOTAL(109,Oktober[30])</f>
        <v>0</v>
      </c>
      <c r="AG12" s="10">
        <f>SUBTOTAL(109,Oktober[31])</f>
        <v>0</v>
      </c>
      <c r="AH12" s="10">
        <f>SUBTOTAL(109,Oktober[Totaal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254" priority="2" stopIfTrue="1">
      <formula>C7=KeyCustom2</formula>
    </cfRule>
    <cfRule type="expression" dxfId="253" priority="3" stopIfTrue="1">
      <formula>C7=KeyCustom1</formula>
    </cfRule>
    <cfRule type="expression" dxfId="252" priority="4" stopIfTrue="1">
      <formula>C7=KeySick</formula>
    </cfRule>
    <cfRule type="expression" dxfId="251" priority="5" stopIfTrue="1">
      <formula>C7=KeyPersonal</formula>
    </cfRule>
    <cfRule type="expression" dxfId="250"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900-000000000000}"/>
    <dataValidation allowBlank="1" showInputMessage="1" showErrorMessage="1" prompt="Automatisch bijgewerkt jaar op basis van het jaar dat in het werkblad januari is ingevoerd" sqref="AH4" xr:uid="{00000000-0002-0000-0900-000001000000}"/>
    <dataValidation allowBlank="1" showInputMessage="1" showErrorMessage="1" prompt="Berekent automatisch het totaal aantal dagen die een werknemer in deze maand niet aanwezig was in deze kolom" sqref="AH6" xr:uid="{00000000-0002-0000-0900-000002000000}"/>
    <dataValidation allowBlank="1" showInputMessage="1" showErrorMessage="1" prompt="Houd de afwezigheid in oktober in dit werkblad bij" sqref="A1" xr:uid="{00000000-0002-0000-0900-000003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900-000004000000}"/>
    <dataValidation allowBlank="1" showInputMessage="1" showErrorMessage="1" prompt="De automatisch bijgewerkte titel is in deze cel opgenomen. Als u de titel wilt wijzigen, werk dan B1 in het januari-werkblad bij" sqref="B1" xr:uid="{00000000-0002-0000-0900-000005000000}"/>
    <dataValidation allowBlank="1" showInputMessage="1" showErrorMessage="1" prompt="De letter &quot;V&quot; geeft afwezigheid vanwege vakantie aan" sqref="C2" xr:uid="{00000000-0002-0000-0900-000006000000}"/>
    <dataValidation allowBlank="1" showInputMessage="1" showErrorMessage="1" prompt="De letter &quot;P&quot; geeft afwezigheid vanwege persoonlijke redenen aan" sqref="G2" xr:uid="{00000000-0002-0000-0900-000007000000}"/>
    <dataValidation allowBlank="1" showInputMessage="1" showErrorMessage="1" prompt="De letter &quot;Z&quot; geeft afwezigheid vanwege ziekte aan" sqref="K2" xr:uid="{00000000-0002-0000-0900-000008000000}"/>
    <dataValidation allowBlank="1" showInputMessage="1" showErrorMessage="1" prompt="Voer een letter in en pas rechts het label aan om een ander sleutelitem toe te voegen" sqref="N2 R2" xr:uid="{00000000-0002-0000-0900-000009000000}"/>
    <dataValidation allowBlank="1" showInputMessage="1" showErrorMessage="1" prompt="Voer links een label om de aangepaste sleutel te beschrijven in" sqref="O2:Q2 S2:U2" xr:uid="{00000000-0002-0000-0900-00000A000000}"/>
    <dataValidation allowBlank="1" showInputMessage="1" showErrorMessage="1" prompt="Deze rij definieert de sleutels die worden gebruikt in de tabel: cel C2 is vakantie, G2 is persoonlijk en K2 is ziekteverlof. De cellen N2 en R2 kunnen worden aangepast " sqref="B2" xr:uid="{00000000-0002-0000-0900-00000B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900-00000C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9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E000000}">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0.249977111117893"/>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60</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TEXT(WEEKDAY(DATE(CalendarYear,11,1),1),"aaa")</f>
        <v>di</v>
      </c>
      <c r="D5" s="2" t="str">
        <f>TEXT(WEEKDAY(DATE(CalendarYear,11,2),1),"aaa")</f>
        <v>wo</v>
      </c>
      <c r="E5" s="2" t="str">
        <f>TEXT(WEEKDAY(DATE(CalendarYear,11,3),1),"aaa")</f>
        <v>do</v>
      </c>
      <c r="F5" s="2" t="str">
        <f>TEXT(WEEKDAY(DATE(CalendarYear,11,4),1),"aaa")</f>
        <v>vr</v>
      </c>
      <c r="G5" s="2" t="str">
        <f>TEXT(WEEKDAY(DATE(CalendarYear,11,5),1),"aaa")</f>
        <v>za</v>
      </c>
      <c r="H5" s="2" t="str">
        <f>TEXT(WEEKDAY(DATE(CalendarYear,11,6),1),"aaa")</f>
        <v>zo</v>
      </c>
      <c r="I5" s="2" t="str">
        <f>TEXT(WEEKDAY(DATE(CalendarYear,11,7),1),"aaa")</f>
        <v>ma</v>
      </c>
      <c r="J5" s="2" t="str">
        <f>TEXT(WEEKDAY(DATE(CalendarYear,11,8),1),"aaa")</f>
        <v>di</v>
      </c>
      <c r="K5" s="2" t="str">
        <f>TEXT(WEEKDAY(DATE(CalendarYear,11,9),1),"aaa")</f>
        <v>wo</v>
      </c>
      <c r="L5" s="2" t="str">
        <f>TEXT(WEEKDAY(DATE(CalendarYear,11,10),1),"aaa")</f>
        <v>do</v>
      </c>
      <c r="M5" s="2" t="str">
        <f>TEXT(WEEKDAY(DATE(CalendarYear,11,11),1),"aaa")</f>
        <v>vr</v>
      </c>
      <c r="N5" s="2" t="str">
        <f>TEXT(WEEKDAY(DATE(CalendarYear,11,12),1),"aaa")</f>
        <v>za</v>
      </c>
      <c r="O5" s="2" t="str">
        <f>TEXT(WEEKDAY(DATE(CalendarYear,11,13),1),"aaa")</f>
        <v>zo</v>
      </c>
      <c r="P5" s="2" t="str">
        <f>TEXT(WEEKDAY(DATE(CalendarYear,11,14),1),"aaa")</f>
        <v>ma</v>
      </c>
      <c r="Q5" s="2" t="str">
        <f>TEXT(WEEKDAY(DATE(CalendarYear,11,15),1),"aaa")</f>
        <v>di</v>
      </c>
      <c r="R5" s="2" t="str">
        <f>TEXT(WEEKDAY(DATE(CalendarYear,11,16),1),"aaa")</f>
        <v>wo</v>
      </c>
      <c r="S5" s="2" t="str">
        <f>TEXT(WEEKDAY(DATE(CalendarYear,11,17),1),"aaa")</f>
        <v>do</v>
      </c>
      <c r="T5" s="2" t="str">
        <f>TEXT(WEEKDAY(DATE(CalendarYear,11,18),1),"aaa")</f>
        <v>vr</v>
      </c>
      <c r="U5" s="2" t="str">
        <f>TEXT(WEEKDAY(DATE(CalendarYear,11,19),1),"aaa")</f>
        <v>za</v>
      </c>
      <c r="V5" s="2" t="str">
        <f>TEXT(WEEKDAY(DATE(CalendarYear,11,20),1),"aaa")</f>
        <v>zo</v>
      </c>
      <c r="W5" s="2" t="str">
        <f>TEXT(WEEKDAY(DATE(CalendarYear,11,21),1),"aaa")</f>
        <v>ma</v>
      </c>
      <c r="X5" s="2" t="str">
        <f>TEXT(WEEKDAY(DATE(CalendarYear,11,22),1),"aaa")</f>
        <v>di</v>
      </c>
      <c r="Y5" s="2" t="str">
        <f>TEXT(WEEKDAY(DATE(CalendarYear,11,23),1),"aaa")</f>
        <v>wo</v>
      </c>
      <c r="Z5" s="2" t="str">
        <f>TEXT(WEEKDAY(DATE(CalendarYear,11,24),1),"aaa")</f>
        <v>do</v>
      </c>
      <c r="AA5" s="2" t="str">
        <f>TEXT(WEEKDAY(DATE(CalendarYear,11,25),1),"aaa")</f>
        <v>vr</v>
      </c>
      <c r="AB5" s="2" t="str">
        <f>TEXT(WEEKDAY(DATE(CalendarYear,11,26),1),"aaa")</f>
        <v>za</v>
      </c>
      <c r="AC5" s="2" t="str">
        <f>TEXT(WEEKDAY(DATE(CalendarYear,11,27),1),"aaa")</f>
        <v>zo</v>
      </c>
      <c r="AD5" s="2" t="str">
        <f>TEXT(WEEKDAY(DATE(CalendarYear,11,28),1),"aaa")</f>
        <v>ma</v>
      </c>
      <c r="AE5" s="2" t="str">
        <f>TEXT(WEEKDAY(DATE(CalendarYear,11,29),1),"aaa")</f>
        <v>di</v>
      </c>
      <c r="AF5" s="2" t="str">
        <f>TEXT(WEEKDAY(DATE(CalendarYear,11,30),1),"aaa")</f>
        <v>wo</v>
      </c>
      <c r="AG5" s="2"/>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COUNTA(November[[#This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COUNTA(November[[#This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COUNTA(November[[#This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COUNTA(November[[#This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COUNTA(November[[#This Row],[1]:[31]])</f>
        <v>0</v>
      </c>
    </row>
    <row r="12" spans="2:34" ht="30" customHeight="1" x14ac:dyDescent="0.25">
      <c r="B12" s="17" t="str">
        <f>MonthName&amp;" totaal"</f>
        <v>November totaal</v>
      </c>
      <c r="C12" s="10">
        <f>SUBTOTAL(103,November[1])</f>
        <v>0</v>
      </c>
      <c r="D12" s="10">
        <f>SUBTOTAL(103,November[2])</f>
        <v>0</v>
      </c>
      <c r="E12" s="10">
        <f>SUBTOTAL(103,November[3])</f>
        <v>0</v>
      </c>
      <c r="F12" s="10">
        <f>SUBTOTAL(103,November[4])</f>
        <v>0</v>
      </c>
      <c r="G12" s="10">
        <f>SUBTOTAL(103,November[5])</f>
        <v>0</v>
      </c>
      <c r="H12" s="10">
        <f>SUBTOTAL(103,November[6])</f>
        <v>0</v>
      </c>
      <c r="I12" s="10">
        <f>SUBTOTAL(103,November[7])</f>
        <v>0</v>
      </c>
      <c r="J12" s="10">
        <f>SUBTOTAL(103,November[8])</f>
        <v>0</v>
      </c>
      <c r="K12" s="10">
        <f>SUBTOTAL(103,November[9])</f>
        <v>0</v>
      </c>
      <c r="L12" s="10">
        <f>SUBTOTAL(103,November[10])</f>
        <v>0</v>
      </c>
      <c r="M12" s="10">
        <f>SUBTOTAL(103,November[11])</f>
        <v>0</v>
      </c>
      <c r="N12" s="10">
        <f>SUBTOTAL(103,November[12])</f>
        <v>0</v>
      </c>
      <c r="O12" s="10">
        <f>SUBTOTAL(103,November[13])</f>
        <v>0</v>
      </c>
      <c r="P12" s="10">
        <f>SUBTOTAL(103,November[14])</f>
        <v>0</v>
      </c>
      <c r="Q12" s="10">
        <f>SUBTOTAL(103,November[15])</f>
        <v>0</v>
      </c>
      <c r="R12" s="10">
        <f>SUBTOTAL(103,November[16])</f>
        <v>0</v>
      </c>
      <c r="S12" s="10">
        <f>SUBTOTAL(103,November[17])</f>
        <v>0</v>
      </c>
      <c r="T12" s="10">
        <f>SUBTOTAL(103,November[18])</f>
        <v>0</v>
      </c>
      <c r="U12" s="10">
        <f>SUBTOTAL(103,November[19])</f>
        <v>0</v>
      </c>
      <c r="V12" s="10">
        <f>SUBTOTAL(103,November[20])</f>
        <v>0</v>
      </c>
      <c r="W12" s="10">
        <f>SUBTOTAL(103,November[21])</f>
        <v>0</v>
      </c>
      <c r="X12" s="10">
        <f>SUBTOTAL(103,November[22])</f>
        <v>0</v>
      </c>
      <c r="Y12" s="10">
        <f>SUBTOTAL(103,November[23])</f>
        <v>0</v>
      </c>
      <c r="Z12" s="10">
        <f>SUBTOTAL(103,November[24])</f>
        <v>0</v>
      </c>
      <c r="AA12" s="10">
        <f>SUBTOTAL(103,November[25])</f>
        <v>0</v>
      </c>
      <c r="AB12" s="10">
        <f>SUBTOTAL(103,November[26])</f>
        <v>0</v>
      </c>
      <c r="AC12" s="10">
        <f>SUBTOTAL(103,November[27])</f>
        <v>0</v>
      </c>
      <c r="AD12" s="10">
        <f>SUBTOTAL(103,November[28])</f>
        <v>0</v>
      </c>
      <c r="AE12" s="10">
        <f>SUBTOTAL(103,November[29])</f>
        <v>0</v>
      </c>
      <c r="AF12" s="10">
        <f>SUBTOTAL(109,November[30])</f>
        <v>0</v>
      </c>
      <c r="AG12" s="10">
        <f>SUBTOTAL(109,November[31])</f>
        <v>0</v>
      </c>
      <c r="AH12" s="10">
        <f>SUBTOTAL(109,November[Totaal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180" priority="2" stopIfTrue="1">
      <formula>C7=KeyCustom2</formula>
    </cfRule>
    <cfRule type="expression" dxfId="179" priority="3" stopIfTrue="1">
      <formula>C7=KeyCustom1</formula>
    </cfRule>
    <cfRule type="expression" dxfId="178" priority="4" stopIfTrue="1">
      <formula>C7=KeySick</formula>
    </cfRule>
    <cfRule type="expression" dxfId="177" priority="5" stopIfTrue="1">
      <formula>C7=KeyPersonal</formula>
    </cfRule>
    <cfRule type="expression" dxfId="176"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A00-000000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A00-000001000000}"/>
    <dataValidation allowBlank="1" showInputMessage="1" showErrorMessage="1" prompt="Deze rij definieert de sleutels die worden gebruikt in de tabel: cel C2 is vakantie, G2 is persoonlijk en K2 is ziekteverlof. De cellen N2 en R2 kunnen worden aangepast " sqref="B2" xr:uid="{00000000-0002-0000-0A00-000002000000}"/>
    <dataValidation allowBlank="1" showInputMessage="1" showErrorMessage="1" prompt="Voer links een label om de aangepaste sleutel te beschrijven in" sqref="O2:Q2 S2:U2" xr:uid="{00000000-0002-0000-0A00-000003000000}"/>
    <dataValidation allowBlank="1" showInputMessage="1" showErrorMessage="1" prompt="Voer een letter in en pas rechts het label aan om een ander sleutelitem toe te voegen" sqref="N2 R2" xr:uid="{00000000-0002-0000-0A00-000004000000}"/>
    <dataValidation allowBlank="1" showInputMessage="1" showErrorMessage="1" prompt="De letter &quot;Z&quot; geeft afwezigheid vanwege ziekte aan" sqref="K2" xr:uid="{00000000-0002-0000-0A00-000005000000}"/>
    <dataValidation allowBlank="1" showInputMessage="1" showErrorMessage="1" prompt="De letter &quot;P&quot; geeft afwezigheid vanwege persoonlijke redenen aan" sqref="G2" xr:uid="{00000000-0002-0000-0A00-000006000000}"/>
    <dataValidation allowBlank="1" showInputMessage="1" showErrorMessage="1" prompt="De letter &quot;V&quot; geeft afwezigheid vanwege vakantie aan" sqref="C2" xr:uid="{00000000-0002-0000-0A00-000007000000}"/>
    <dataValidation allowBlank="1" showInputMessage="1" showErrorMessage="1" prompt="De automatisch bijgewerkte titel is in deze cel opgenomen. Als u de titel wilt wijzigen, werk dan B1 in het januari-werkblad bij" sqref="B1" xr:uid="{00000000-0002-0000-0A00-000008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A00-000009000000}"/>
    <dataValidation allowBlank="1" showInputMessage="1" showErrorMessage="1" prompt="Houd de afwezigheid in november in dit werkblad bij" sqref="A1" xr:uid="{00000000-0002-0000-0A00-00000A000000}"/>
    <dataValidation allowBlank="1" showInputMessage="1" showErrorMessage="1" prompt="Berekent automatisch het totaal aantal dagen die een werknemer in deze maand niet aanwezig was in deze kolom" sqref="AH6" xr:uid="{00000000-0002-0000-0A00-00000B000000}"/>
    <dataValidation allowBlank="1" showInputMessage="1" showErrorMessage="1" prompt="Automatisch bijgewerkt jaar op basis van het jaar dat in het werkblad januari is ingevoerd" sqref="AH4" xr:uid="{00000000-0002-0000-0A00-00000C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A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E000000}">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79998168889431442"/>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61</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TEXT(WEEKDAY(DATE(CalendarYear,12,1),1),"aaa")</f>
        <v>do</v>
      </c>
      <c r="D5" s="2" t="str">
        <f>TEXT(WEEKDAY(DATE(CalendarYear,12,2),1),"aaa")</f>
        <v>vr</v>
      </c>
      <c r="E5" s="2" t="str">
        <f>TEXT(WEEKDAY(DATE(CalendarYear,12,3),1),"aaa")</f>
        <v>za</v>
      </c>
      <c r="F5" s="2" t="str">
        <f>TEXT(WEEKDAY(DATE(CalendarYear,12,4),1),"aaa")</f>
        <v>zo</v>
      </c>
      <c r="G5" s="2" t="str">
        <f>TEXT(WEEKDAY(DATE(CalendarYear,12,5),1),"aaa")</f>
        <v>ma</v>
      </c>
      <c r="H5" s="2" t="str">
        <f>TEXT(WEEKDAY(DATE(CalendarYear,12,6),1),"aaa")</f>
        <v>di</v>
      </c>
      <c r="I5" s="2" t="str">
        <f>TEXT(WEEKDAY(DATE(CalendarYear,12,7),1),"aaa")</f>
        <v>wo</v>
      </c>
      <c r="J5" s="2" t="str">
        <f>TEXT(WEEKDAY(DATE(CalendarYear,12,8),1),"aaa")</f>
        <v>do</v>
      </c>
      <c r="K5" s="2" t="str">
        <f>TEXT(WEEKDAY(DATE(CalendarYear,12,9),1),"aaa")</f>
        <v>vr</v>
      </c>
      <c r="L5" s="2" t="str">
        <f>TEXT(WEEKDAY(DATE(CalendarYear,12,10),1),"aaa")</f>
        <v>za</v>
      </c>
      <c r="M5" s="2" t="str">
        <f>TEXT(WEEKDAY(DATE(CalendarYear,12,11),1),"aaa")</f>
        <v>zo</v>
      </c>
      <c r="N5" s="2" t="str">
        <f>TEXT(WEEKDAY(DATE(CalendarYear,12,12),1),"aaa")</f>
        <v>ma</v>
      </c>
      <c r="O5" s="2" t="str">
        <f>TEXT(WEEKDAY(DATE(CalendarYear,12,13),1),"aaa")</f>
        <v>di</v>
      </c>
      <c r="P5" s="2" t="str">
        <f>TEXT(WEEKDAY(DATE(CalendarYear,12,14),1),"aaa")</f>
        <v>wo</v>
      </c>
      <c r="Q5" s="2" t="str">
        <f>TEXT(WEEKDAY(DATE(CalendarYear,12,15),1),"aaa")</f>
        <v>do</v>
      </c>
      <c r="R5" s="2" t="str">
        <f>TEXT(WEEKDAY(DATE(CalendarYear,12,16),1),"aaa")</f>
        <v>vr</v>
      </c>
      <c r="S5" s="2" t="str">
        <f>TEXT(WEEKDAY(DATE(CalendarYear,12,17),1),"aaa")</f>
        <v>za</v>
      </c>
      <c r="T5" s="2" t="str">
        <f>TEXT(WEEKDAY(DATE(CalendarYear,12,18),1),"aaa")</f>
        <v>zo</v>
      </c>
      <c r="U5" s="2" t="str">
        <f>TEXT(WEEKDAY(DATE(CalendarYear,12,19),1),"aaa")</f>
        <v>ma</v>
      </c>
      <c r="V5" s="2" t="str">
        <f>TEXT(WEEKDAY(DATE(CalendarYear,12,20),1),"aaa")</f>
        <v>di</v>
      </c>
      <c r="W5" s="2" t="str">
        <f>TEXT(WEEKDAY(DATE(CalendarYear,12,21),1),"aaa")</f>
        <v>wo</v>
      </c>
      <c r="X5" s="2" t="str">
        <f>TEXT(WEEKDAY(DATE(CalendarYear,12,22),1),"aaa")</f>
        <v>do</v>
      </c>
      <c r="Y5" s="2" t="str">
        <f>TEXT(WEEKDAY(DATE(CalendarYear,12,23),1),"aaa")</f>
        <v>vr</v>
      </c>
      <c r="Z5" s="2" t="str">
        <f>TEXT(WEEKDAY(DATE(CalendarYear,12,24),1),"aaa")</f>
        <v>za</v>
      </c>
      <c r="AA5" s="2" t="str">
        <f>TEXT(WEEKDAY(DATE(CalendarYear,12,25),1),"aaa")</f>
        <v>zo</v>
      </c>
      <c r="AB5" s="2" t="str">
        <f>TEXT(WEEKDAY(DATE(CalendarYear,12,26),1),"aaa")</f>
        <v>ma</v>
      </c>
      <c r="AC5" s="2" t="str">
        <f>TEXT(WEEKDAY(DATE(CalendarYear,12,27),1),"aaa")</f>
        <v>di</v>
      </c>
      <c r="AD5" s="2" t="str">
        <f>TEXT(WEEKDAY(DATE(CalendarYear,12,28),1),"aaa")</f>
        <v>wo</v>
      </c>
      <c r="AE5" s="2" t="str">
        <f>TEXT(WEEKDAY(DATE(CalendarYear,12,29),1),"aaa")</f>
        <v>do</v>
      </c>
      <c r="AF5" s="2" t="str">
        <f>TEXT(WEEKDAY(DATE(CalendarYear,12,30),1),"aaa")</f>
        <v>vr</v>
      </c>
      <c r="AG5" s="2" t="str">
        <f>TEXT(WEEKDAY(DATE(CalendarYear,12,31),1),"aaa")</f>
        <v>za</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COUNTA(December[[#This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COUNTA(December[[#This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COUNTA(December[[#This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COUNTA(December[[#This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COUNTA(December[[#This Row],[1]:[31]])</f>
        <v>0</v>
      </c>
    </row>
    <row r="12" spans="2:34" ht="30" customHeight="1" x14ac:dyDescent="0.25">
      <c r="B12" s="17" t="str">
        <f>MonthName&amp;" totaal"</f>
        <v>December totaal</v>
      </c>
      <c r="C12" s="10">
        <f>SUBTOTAL(103,December[1])</f>
        <v>0</v>
      </c>
      <c r="D12" s="10">
        <f>SUBTOTAL(103,December[2])</f>
        <v>0</v>
      </c>
      <c r="E12" s="10">
        <f>SUBTOTAL(103,December[3])</f>
        <v>0</v>
      </c>
      <c r="F12" s="10">
        <f>SUBTOTAL(103,December[4])</f>
        <v>0</v>
      </c>
      <c r="G12" s="10">
        <f>SUBTOTAL(103,December[5])</f>
        <v>0</v>
      </c>
      <c r="H12" s="10">
        <f>SUBTOTAL(103,December[6])</f>
        <v>0</v>
      </c>
      <c r="I12" s="10">
        <f>SUBTOTAL(103,December[7])</f>
        <v>0</v>
      </c>
      <c r="J12" s="10">
        <f>SUBTOTAL(103,December[8])</f>
        <v>0</v>
      </c>
      <c r="K12" s="10">
        <f>SUBTOTAL(103,December[9])</f>
        <v>0</v>
      </c>
      <c r="L12" s="10">
        <f>SUBTOTAL(103,December[10])</f>
        <v>0</v>
      </c>
      <c r="M12" s="10">
        <f>SUBTOTAL(103,December[11])</f>
        <v>0</v>
      </c>
      <c r="N12" s="10">
        <f>SUBTOTAL(103,December[12])</f>
        <v>0</v>
      </c>
      <c r="O12" s="10">
        <f>SUBTOTAL(103,December[13])</f>
        <v>0</v>
      </c>
      <c r="P12" s="10">
        <f>SUBTOTAL(103,December[14])</f>
        <v>0</v>
      </c>
      <c r="Q12" s="10">
        <f>SUBTOTAL(103,December[15])</f>
        <v>0</v>
      </c>
      <c r="R12" s="10">
        <f>SUBTOTAL(103,December[16])</f>
        <v>0</v>
      </c>
      <c r="S12" s="10">
        <f>SUBTOTAL(103,December[17])</f>
        <v>0</v>
      </c>
      <c r="T12" s="10">
        <f>SUBTOTAL(103,December[18])</f>
        <v>0</v>
      </c>
      <c r="U12" s="10">
        <f>SUBTOTAL(103,December[19])</f>
        <v>0</v>
      </c>
      <c r="V12" s="10">
        <f>SUBTOTAL(103,December[20])</f>
        <v>0</v>
      </c>
      <c r="W12" s="10">
        <f>SUBTOTAL(103,December[21])</f>
        <v>0</v>
      </c>
      <c r="X12" s="10">
        <f>SUBTOTAL(103,December[22])</f>
        <v>0</v>
      </c>
      <c r="Y12" s="10">
        <f>SUBTOTAL(103,December[23])</f>
        <v>0</v>
      </c>
      <c r="Z12" s="10">
        <f>SUBTOTAL(103,December[24])</f>
        <v>0</v>
      </c>
      <c r="AA12" s="10">
        <f>SUBTOTAL(103,December[25])</f>
        <v>0</v>
      </c>
      <c r="AB12" s="10">
        <f>SUBTOTAL(103,December[26])</f>
        <v>0</v>
      </c>
      <c r="AC12" s="10">
        <f>SUBTOTAL(103,December[27])</f>
        <v>0</v>
      </c>
      <c r="AD12" s="10">
        <f>SUBTOTAL(103,December[28])</f>
        <v>0</v>
      </c>
      <c r="AE12" s="10">
        <f>SUBTOTAL(103,December[29])</f>
        <v>0</v>
      </c>
      <c r="AF12" s="10">
        <f>SUBTOTAL(109,December[30])</f>
        <v>0</v>
      </c>
      <c r="AG12" s="10">
        <f>SUBTOTAL(109,December[31])</f>
        <v>0</v>
      </c>
      <c r="AH12" s="10">
        <f>SUBTOTAL(109,December[Totaal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106" priority="2" stopIfTrue="1">
      <formula>C7=KeyCustom2</formula>
    </cfRule>
    <cfRule type="expression" dxfId="105" priority="3" stopIfTrue="1">
      <formula>C7=KeyCustom1</formula>
    </cfRule>
    <cfRule type="expression" dxfId="104" priority="4" stopIfTrue="1">
      <formula>C7=KeySick</formula>
    </cfRule>
    <cfRule type="expression" dxfId="103" priority="5" stopIfTrue="1">
      <formula>C7=KeyPersonal</formula>
    </cfRule>
    <cfRule type="expression" dxfId="102" priority="6" stopIfTrue="1">
      <formula>C7=KeyVacation</formula>
    </cfRule>
  </conditionalFormatting>
  <conditionalFormatting sqref="AH7:AH11">
    <cfRule type="dataBar" priority="30">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dataValidations count="14">
    <dataValidation allowBlank="1" showInputMessage="1" showErrorMessage="1" prompt="Automatisch bijgewerkt jaar op basis van het jaar dat in het werkblad januari is ingevoerd" sqref="AH4" xr:uid="{00000000-0002-0000-0B00-000000000000}"/>
    <dataValidation allowBlank="1" showInputMessage="1" showErrorMessage="1" prompt="Berekent automatisch het totaal aantal dagen die een werknemer in deze maand niet aanwezig was in deze kolom" sqref="AH6" xr:uid="{00000000-0002-0000-0B00-000001000000}"/>
    <dataValidation allowBlank="1" showInputMessage="1" showErrorMessage="1" prompt="Houd de afwezigheid in december in dit werkblad bij" sqref="A1" xr:uid="{00000000-0002-0000-0B00-000002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B00-000003000000}"/>
    <dataValidation allowBlank="1" showInputMessage="1" showErrorMessage="1" prompt="De automatisch bijgewerkte titel is in deze cel opgenomen. Als u de titel wilt wijzigen, werk dan B1 in het januari-werkblad bij" sqref="B1" xr:uid="{00000000-0002-0000-0B00-000004000000}"/>
    <dataValidation allowBlank="1" showInputMessage="1" showErrorMessage="1" prompt="De letter &quot;V&quot; geeft afwezigheid vanwege vakantie aan" sqref="C2" xr:uid="{00000000-0002-0000-0B00-000005000000}"/>
    <dataValidation allowBlank="1" showInputMessage="1" showErrorMessage="1" prompt="De letter &quot;P&quot; geeft afwezigheid vanwege persoonlijke redenen aan" sqref="G2" xr:uid="{00000000-0002-0000-0B00-000006000000}"/>
    <dataValidation allowBlank="1" showInputMessage="1" showErrorMessage="1" prompt="De letter &quot;Z&quot; geeft afwezigheid vanwege ziekte aan" sqref="K2" xr:uid="{00000000-0002-0000-0B00-000007000000}"/>
    <dataValidation allowBlank="1" showInputMessage="1" showErrorMessage="1" prompt="Voer een letter in en pas rechts het label aan om een ander sleutelitem toe te voegen" sqref="N2 R2" xr:uid="{00000000-0002-0000-0B00-000008000000}"/>
    <dataValidation allowBlank="1" showInputMessage="1" showErrorMessage="1" prompt="Voer links een label om de aangepaste sleutel te beschrijven in" sqref="O2:Q2 S2:U2" xr:uid="{00000000-0002-0000-0B00-000009000000}"/>
    <dataValidation allowBlank="1" showInputMessage="1" showErrorMessage="1" prompt="Deze rij definieert de sleutels die worden gebruikt in de tabel: cel C2 is vakantie, G2 is persoonlijk en K2 is ziekteverlof. De cellen N2 en R2 kunnen worden aangepast " sqref="B2" xr:uid="{00000000-0002-0000-0B00-00000A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B00-00000B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B00-00000C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B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E000000}">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pageSetUpPr fitToPage="1"/>
  </sheetPr>
  <dimension ref="B1:B8"/>
  <sheetViews>
    <sheetView showGridLines="0" workbookViewId="0"/>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1" t="s">
        <v>62</v>
      </c>
    </row>
    <row r="2" spans="2:2" ht="15" customHeight="1" x14ac:dyDescent="0.25"/>
    <row r="3" spans="2:2" ht="30" customHeight="1" x14ac:dyDescent="0.25">
      <c r="B3" t="s">
        <v>62</v>
      </c>
    </row>
    <row r="4" spans="2:2" ht="30" customHeight="1" x14ac:dyDescent="0.25">
      <c r="B4" s="1" t="s">
        <v>4</v>
      </c>
    </row>
    <row r="5" spans="2:2" ht="30" customHeight="1" x14ac:dyDescent="0.25">
      <c r="B5" s="1" t="s">
        <v>5</v>
      </c>
    </row>
    <row r="6" spans="2:2" ht="30" customHeight="1" x14ac:dyDescent="0.25">
      <c r="B6" s="1" t="s">
        <v>6</v>
      </c>
    </row>
    <row r="7" spans="2:2" ht="30" customHeight="1" x14ac:dyDescent="0.25">
      <c r="B7" s="1" t="s">
        <v>7</v>
      </c>
    </row>
    <row r="8" spans="2:2" ht="30" customHeight="1" x14ac:dyDescent="0.25">
      <c r="B8" s="1" t="s">
        <v>8</v>
      </c>
    </row>
  </sheetData>
  <dataValidations count="3">
    <dataValidation allowBlank="1" showInputMessage="1" showErrorMessage="1" prompt="Titel                                                                   werknemersnamen_x000a_              _x000a__x000a_           _x000a_                _x000a_                                                                     " sqref="B1" xr:uid="{00000000-0002-0000-0C00-000000000000}"/>
    <dataValidation allowBlank="1" showInputMessage="1" showErrorMessage="1" prompt="Voer de namen van werknemers in de werknemerstabel in dit werkblad in. Deze namen worden gebruikt als optie in kolom B van de afwezigheidstabel van elke maand" sqref="A1" xr:uid="{00000000-0002-0000-0C00-000001000000}"/>
    <dataValidation allowBlank="1" showInputMessage="1" showErrorMessage="1" prompt="Voer de werknemersnamen         in deze kolom in               _x000a_                                                        _x000a__x000a_" sqref="B3" xr:uid="{00000000-0002-0000-0C00-000002000000}"/>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749992370372631"/>
    <pageSetUpPr fitToPage="1"/>
  </sheetPr>
  <dimension ref="B1:AH12"/>
  <sheetViews>
    <sheetView showGridLines="0" zoomScaleNormal="100" workbookViewId="0"/>
  </sheetViews>
  <sheetFormatPr defaultColWidth="9.140625"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row r="4" spans="2:34" ht="30" customHeight="1" x14ac:dyDescent="0.25">
      <c r="B4" s="9" t="s">
        <v>51</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TEXT(WEEKDAY(DATE(CalendarYear,2,1),1),"aaa")</f>
        <v>ma</v>
      </c>
      <c r="D5" s="2" t="str">
        <f>TEXT(WEEKDAY(DATE(CalendarYear,2,2),1),"aaa")</f>
        <v>di</v>
      </c>
      <c r="E5" s="2" t="str">
        <f>TEXT(WEEKDAY(DATE(CalendarYear,2,3),1),"aaa")</f>
        <v>wo</v>
      </c>
      <c r="F5" s="2" t="str">
        <f>TEXT(WEEKDAY(DATE(CalendarYear,2,4),1),"aaa")</f>
        <v>do</v>
      </c>
      <c r="G5" s="2" t="str">
        <f>TEXT(WEEKDAY(DATE(CalendarYear,2,5),1),"aaa")</f>
        <v>vr</v>
      </c>
      <c r="H5" s="2" t="str">
        <f>TEXT(WEEKDAY(DATE(CalendarYear,2,6),1),"aaa")</f>
        <v>za</v>
      </c>
      <c r="I5" s="2" t="str">
        <f>TEXT(WEEKDAY(DATE(CalendarYear,2,7),1),"aaa")</f>
        <v>zo</v>
      </c>
      <c r="J5" s="2" t="str">
        <f>TEXT(WEEKDAY(DATE(CalendarYear,2,8),1),"aaa")</f>
        <v>ma</v>
      </c>
      <c r="K5" s="2" t="str">
        <f>TEXT(WEEKDAY(DATE(CalendarYear,2,9),1),"aaa")</f>
        <v>di</v>
      </c>
      <c r="L5" s="2" t="str">
        <f>TEXT(WEEKDAY(DATE(CalendarYear,2,10),1),"aaa")</f>
        <v>wo</v>
      </c>
      <c r="M5" s="2" t="str">
        <f>TEXT(WEEKDAY(DATE(CalendarYear,2,11),1),"aaa")</f>
        <v>do</v>
      </c>
      <c r="N5" s="2" t="str">
        <f>TEXT(WEEKDAY(DATE(CalendarYear,2,12),1),"aaa")</f>
        <v>vr</v>
      </c>
      <c r="O5" s="2" t="str">
        <f>TEXT(WEEKDAY(DATE(CalendarYear,2,13),1),"aaa")</f>
        <v>za</v>
      </c>
      <c r="P5" s="2" t="str">
        <f>TEXT(WEEKDAY(DATE(CalendarYear,2,14),1),"aaa")</f>
        <v>zo</v>
      </c>
      <c r="Q5" s="2" t="str">
        <f>TEXT(WEEKDAY(DATE(CalendarYear,2,15),1),"aaa")</f>
        <v>ma</v>
      </c>
      <c r="R5" s="2" t="str">
        <f>TEXT(WEEKDAY(DATE(CalendarYear,2,16),1),"aaa")</f>
        <v>di</v>
      </c>
      <c r="S5" s="2" t="str">
        <f>TEXT(WEEKDAY(DATE(CalendarYear,2,17),1),"aaa")</f>
        <v>wo</v>
      </c>
      <c r="T5" s="2" t="str">
        <f>TEXT(WEEKDAY(DATE(CalendarYear,2,18),1),"aaa")</f>
        <v>do</v>
      </c>
      <c r="U5" s="2" t="str">
        <f>TEXT(WEEKDAY(DATE(CalendarYear,2,19),1),"aaa")</f>
        <v>vr</v>
      </c>
      <c r="V5" s="2" t="str">
        <f>TEXT(WEEKDAY(DATE(CalendarYear,2,20),1),"aaa")</f>
        <v>za</v>
      </c>
      <c r="W5" s="2" t="str">
        <f>TEXT(WEEKDAY(DATE(CalendarYear,2,21),1),"aaa")</f>
        <v>zo</v>
      </c>
      <c r="X5" s="2" t="str">
        <f>TEXT(WEEKDAY(DATE(CalendarYear,2,22),1),"aaa")</f>
        <v>ma</v>
      </c>
      <c r="Y5" s="2" t="str">
        <f>TEXT(WEEKDAY(DATE(CalendarYear,2,23),1),"aaa")</f>
        <v>di</v>
      </c>
      <c r="Z5" s="2" t="str">
        <f>TEXT(WEEKDAY(DATE(CalendarYear,2,24),1),"aaa")</f>
        <v>wo</v>
      </c>
      <c r="AA5" s="2" t="str">
        <f>TEXT(WEEKDAY(DATE(CalendarYear,2,25),1),"aaa")</f>
        <v>do</v>
      </c>
      <c r="AB5" s="2" t="str">
        <f>TEXT(WEEKDAY(DATE(CalendarYear,2,26),1),"aaa")</f>
        <v>vr</v>
      </c>
      <c r="AC5" s="2" t="str">
        <f>TEXT(WEEKDAY(DATE(CalendarYear,2,27),1),"aaa")</f>
        <v>za</v>
      </c>
      <c r="AD5" s="2" t="str">
        <f>TEXT(WEEKDAY(DATE(CalendarYear,2,28),1),"aaa")</f>
        <v>zo</v>
      </c>
      <c r="AE5" s="2" t="str">
        <f>TEXT(WEEKDAY(DATE(CalendarYear,2,29),1),"aaa")</f>
        <v>ma</v>
      </c>
      <c r="AF5" s="2"/>
      <c r="AG5" s="2"/>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52</v>
      </c>
      <c r="AG6" s="2" t="s">
        <v>53</v>
      </c>
      <c r="AH6" s="13" t="s">
        <v>50</v>
      </c>
    </row>
    <row r="7" spans="2:34" ht="30" customHeight="1" x14ac:dyDescent="0.25">
      <c r="B7" s="1" t="s">
        <v>4</v>
      </c>
      <c r="C7" s="2"/>
      <c r="D7" s="2"/>
      <c r="E7" s="2" t="s">
        <v>9</v>
      </c>
      <c r="F7" s="2" t="s">
        <v>9</v>
      </c>
      <c r="G7" s="2" t="s">
        <v>9</v>
      </c>
      <c r="H7" s="2" t="s">
        <v>9</v>
      </c>
      <c r="I7" s="2"/>
      <c r="J7" s="2"/>
      <c r="K7" s="2"/>
      <c r="L7" s="2"/>
      <c r="M7" s="2"/>
      <c r="N7" s="2"/>
      <c r="O7" s="2" t="s">
        <v>9</v>
      </c>
      <c r="P7" s="2"/>
      <c r="Q7" s="2"/>
      <c r="R7" s="2"/>
      <c r="S7" s="2"/>
      <c r="T7" s="2"/>
      <c r="U7" s="2"/>
      <c r="V7" s="2"/>
      <c r="W7" s="2"/>
      <c r="X7" s="2"/>
      <c r="Y7" s="2"/>
      <c r="Z7" s="2"/>
      <c r="AA7" s="2"/>
      <c r="AB7" s="2"/>
      <c r="AC7" s="2"/>
      <c r="AD7" s="2"/>
      <c r="AE7" s="2"/>
      <c r="AF7" s="2"/>
      <c r="AG7" s="2"/>
      <c r="AH7" s="8">
        <f>COUNTA(Februari[[#This Row],[1]:[29]])</f>
        <v>5</v>
      </c>
    </row>
    <row r="8" spans="2:34" ht="30" customHeight="1" x14ac:dyDescent="0.25">
      <c r="B8" s="1" t="s">
        <v>5</v>
      </c>
      <c r="C8" s="2"/>
      <c r="D8" s="2"/>
      <c r="E8" s="2"/>
      <c r="F8" s="2"/>
      <c r="G8" s="2" t="s">
        <v>17</v>
      </c>
      <c r="H8" s="2" t="s">
        <v>17</v>
      </c>
      <c r="I8" s="2"/>
      <c r="J8" s="2"/>
      <c r="K8" s="2"/>
      <c r="L8" s="2"/>
      <c r="M8" s="2" t="s">
        <v>15</v>
      </c>
      <c r="N8" s="2"/>
      <c r="O8" s="2"/>
      <c r="P8" s="2"/>
      <c r="Q8" s="2"/>
      <c r="R8" s="2"/>
      <c r="S8" s="2"/>
      <c r="T8" s="2"/>
      <c r="U8" s="2"/>
      <c r="V8" s="2" t="s">
        <v>17</v>
      </c>
      <c r="W8" s="2"/>
      <c r="X8" s="2"/>
      <c r="Y8" s="2"/>
      <c r="Z8" s="2"/>
      <c r="AA8" s="2" t="s">
        <v>9</v>
      </c>
      <c r="AB8" s="2" t="s">
        <v>9</v>
      </c>
      <c r="AC8" s="2" t="s">
        <v>9</v>
      </c>
      <c r="AD8" s="2"/>
      <c r="AE8" s="2"/>
      <c r="AF8" s="2"/>
      <c r="AG8" s="2"/>
      <c r="AH8" s="8">
        <f>COUNTA(Februari[[#This Row],[1]:[29]])</f>
        <v>7</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COUNTA(Februari[[#This Row],[1]:[29]])</f>
        <v>0</v>
      </c>
    </row>
    <row r="10" spans="2:34" ht="30" customHeight="1" x14ac:dyDescent="0.25">
      <c r="B10" s="1" t="s">
        <v>7</v>
      </c>
      <c r="C10" s="2"/>
      <c r="D10" s="2"/>
      <c r="E10" s="2" t="s">
        <v>17</v>
      </c>
      <c r="F10" s="2"/>
      <c r="G10" s="2"/>
      <c r="H10" s="2"/>
      <c r="I10" s="2"/>
      <c r="J10" s="2"/>
      <c r="K10" s="2"/>
      <c r="L10" s="2"/>
      <c r="M10" s="2"/>
      <c r="N10" s="2"/>
      <c r="O10" s="2"/>
      <c r="P10" s="2" t="s">
        <v>17</v>
      </c>
      <c r="Q10" s="2"/>
      <c r="R10" s="2"/>
      <c r="S10" s="2"/>
      <c r="T10" s="2" t="s">
        <v>15</v>
      </c>
      <c r="U10" s="2"/>
      <c r="V10" s="2"/>
      <c r="W10" s="2"/>
      <c r="X10" s="2"/>
      <c r="Y10" s="2"/>
      <c r="Z10" s="2"/>
      <c r="AA10" s="2"/>
      <c r="AB10" s="2"/>
      <c r="AC10" s="2"/>
      <c r="AD10" s="2" t="s">
        <v>17</v>
      </c>
      <c r="AE10" s="2"/>
      <c r="AF10" s="2"/>
      <c r="AG10" s="2"/>
      <c r="AH10" s="8">
        <f>COUNTA(Februari[[#This Row],[1]:[29]])</f>
        <v>4</v>
      </c>
    </row>
    <row r="11" spans="2:34" ht="30" customHeight="1" x14ac:dyDescent="0.25">
      <c r="B11" s="1" t="s">
        <v>8</v>
      </c>
      <c r="C11" s="2"/>
      <c r="D11" s="2"/>
      <c r="E11" s="2"/>
      <c r="F11" s="2"/>
      <c r="G11" s="2"/>
      <c r="H11" s="2"/>
      <c r="I11" s="2"/>
      <c r="J11" s="2" t="s">
        <v>9</v>
      </c>
      <c r="K11" s="2" t="s">
        <v>9</v>
      </c>
      <c r="L11" s="2" t="s">
        <v>9</v>
      </c>
      <c r="M11" s="2" t="s">
        <v>9</v>
      </c>
      <c r="N11" s="2"/>
      <c r="O11" s="2"/>
      <c r="P11" s="2"/>
      <c r="Q11" s="2"/>
      <c r="R11" s="2"/>
      <c r="S11" s="2"/>
      <c r="T11" s="2"/>
      <c r="U11" s="2"/>
      <c r="V11" s="2"/>
      <c r="W11" s="2"/>
      <c r="X11" s="2"/>
      <c r="Y11" s="2"/>
      <c r="Z11" s="2" t="s">
        <v>17</v>
      </c>
      <c r="AA11" s="2"/>
      <c r="AB11" s="2"/>
      <c r="AC11" s="2"/>
      <c r="AD11" s="2"/>
      <c r="AE11" s="2"/>
      <c r="AF11" s="2"/>
      <c r="AG11" s="2"/>
      <c r="AH11" s="8">
        <f>COUNTA(Februari[[#This Row],[1]:[29]])</f>
        <v>5</v>
      </c>
    </row>
    <row r="12" spans="2:34" ht="30" customHeight="1" x14ac:dyDescent="0.25">
      <c r="B12" s="17" t="str">
        <f>MonthName&amp;" totaal"</f>
        <v>Februari totaal</v>
      </c>
      <c r="C12" s="10">
        <f>SUBTOTAL(103,Februari[1])</f>
        <v>0</v>
      </c>
      <c r="D12" s="10">
        <f>SUBTOTAL(103,Februari[2])</f>
        <v>0</v>
      </c>
      <c r="E12" s="10">
        <f>SUBTOTAL(103,Februari[3])</f>
        <v>2</v>
      </c>
      <c r="F12" s="10">
        <f>SUBTOTAL(103,Februari[4])</f>
        <v>1</v>
      </c>
      <c r="G12" s="10">
        <f>SUBTOTAL(103,Februari[5])</f>
        <v>2</v>
      </c>
      <c r="H12" s="10">
        <f>SUBTOTAL(103,Februari[6])</f>
        <v>2</v>
      </c>
      <c r="I12" s="10">
        <f>SUBTOTAL(103,Februari[7])</f>
        <v>0</v>
      </c>
      <c r="J12" s="10">
        <f>SUBTOTAL(103,Februari[8])</f>
        <v>1</v>
      </c>
      <c r="K12" s="10">
        <f>SUBTOTAL(103,Februari[9])</f>
        <v>1</v>
      </c>
      <c r="L12" s="10">
        <f>SUBTOTAL(103,Februari[10])</f>
        <v>1</v>
      </c>
      <c r="M12" s="10">
        <f>SUBTOTAL(103,Februari[11])</f>
        <v>2</v>
      </c>
      <c r="N12" s="10">
        <f>SUBTOTAL(103,Februari[12])</f>
        <v>0</v>
      </c>
      <c r="O12" s="10">
        <f>SUBTOTAL(103,Februari[13])</f>
        <v>1</v>
      </c>
      <c r="P12" s="10">
        <f>SUBTOTAL(103,Februari[14])</f>
        <v>1</v>
      </c>
      <c r="Q12" s="10">
        <f>SUBTOTAL(103,Februari[15])</f>
        <v>0</v>
      </c>
      <c r="R12" s="10">
        <f>SUBTOTAL(103,Februari[16])</f>
        <v>0</v>
      </c>
      <c r="S12" s="10">
        <f>SUBTOTAL(103,Februari[17])</f>
        <v>0</v>
      </c>
      <c r="T12" s="10">
        <f>SUBTOTAL(103,Februari[18])</f>
        <v>1</v>
      </c>
      <c r="U12" s="10">
        <f>SUBTOTAL(103,Februari[19])</f>
        <v>0</v>
      </c>
      <c r="V12" s="10">
        <f>SUBTOTAL(103,Februari[20])</f>
        <v>1</v>
      </c>
      <c r="W12" s="10">
        <f>SUBTOTAL(103,Februari[21])</f>
        <v>0</v>
      </c>
      <c r="X12" s="10">
        <f>SUBTOTAL(103,Februari[22])</f>
        <v>0</v>
      </c>
      <c r="Y12" s="10">
        <f>SUBTOTAL(103,Februari[23])</f>
        <v>0</v>
      </c>
      <c r="Z12" s="10">
        <f>SUBTOTAL(103,Februari[24])</f>
        <v>1</v>
      </c>
      <c r="AA12" s="10">
        <f>SUBTOTAL(103,Februari[25])</f>
        <v>1</v>
      </c>
      <c r="AB12" s="10">
        <f>SUBTOTAL(103,Februari[26])</f>
        <v>1</v>
      </c>
      <c r="AC12" s="10">
        <f>SUBTOTAL(103,Februari[27])</f>
        <v>1</v>
      </c>
      <c r="AD12" s="10">
        <f>SUBTOTAL(103,Februari[28])</f>
        <v>1</v>
      </c>
      <c r="AE12" s="10">
        <f>SUBTOTAL(103,Februari[29])</f>
        <v>0</v>
      </c>
      <c r="AF12" s="10"/>
      <c r="AG12" s="10"/>
      <c r="AH12" s="10">
        <f>SUBTOTAL(109,Februari[Totaal aantal dagen])</f>
        <v>21</v>
      </c>
    </row>
  </sheetData>
  <mergeCells count="6">
    <mergeCell ref="C4:AG4"/>
    <mergeCell ref="D2:F2"/>
    <mergeCell ref="H2:J2"/>
    <mergeCell ref="L2:M2"/>
    <mergeCell ref="O2:Q2"/>
    <mergeCell ref="S2:U2"/>
  </mergeCells>
  <conditionalFormatting sqref="AE6">
    <cfRule type="expression" dxfId="815" priority="16">
      <formula>MONTH(DATE(CalendarYear,2,29))&lt;&gt;2</formula>
    </cfRule>
  </conditionalFormatting>
  <conditionalFormatting sqref="AE5">
    <cfRule type="expression" dxfId="814" priority="15">
      <formula>MONTH(DATE(CalendarYear,2,29))&lt;&gt;2</formula>
    </cfRule>
  </conditionalFormatting>
  <conditionalFormatting sqref="C7:AG11">
    <cfRule type="expression" priority="2" stopIfTrue="1">
      <formula>C7=""</formula>
    </cfRule>
    <cfRule type="expression" dxfId="813" priority="3" stopIfTrue="1">
      <formula>C7=KeyCustom2</formula>
    </cfRule>
  </conditionalFormatting>
  <conditionalFormatting sqref="C7:AG11">
    <cfRule type="expression" dxfId="812" priority="5" stopIfTrue="1">
      <formula>C7=KeyCustom1</formula>
    </cfRule>
    <cfRule type="expression" dxfId="811" priority="6" stopIfTrue="1">
      <formula>C7=KeySick</formula>
    </cfRule>
    <cfRule type="expression" dxfId="810" priority="7" stopIfTrue="1">
      <formula>C7=KeyPersonal</formula>
    </cfRule>
    <cfRule type="expression" dxfId="809" priority="8" stopIfTrue="1">
      <formula>C7=KeyVacation</formula>
    </cfRule>
  </conditionalFormatting>
  <conditionalFormatting sqref="AH7:AH11">
    <cfRule type="dataBar" priority="153">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dataValidations xWindow="232" yWindow="365" count="14">
    <dataValidation allowBlank="1" showInputMessage="1" showErrorMessage="1" prompt="Automatisch bijgewerkt jaar op basis van het jaar dat in het werkblad januari is ingevoerd" sqref="AH4" xr:uid="{00000000-0002-0000-0100-000000000000}"/>
    <dataValidation allowBlank="1" showInputMessage="1" showErrorMessage="1" prompt="Houd de afwezigheid in februari in dit werkblad bij" sqref="A1" xr:uid="{00000000-0002-0000-0100-000001000000}"/>
    <dataValidation allowBlank="1" showInputMessage="1" showErrorMessage="1" prompt="Berekent automatisch het totaal aantal dagen die een werknemer in deze maand niet aanwezig was in deze kolom" sqref="AH6" xr:uid="{00000000-0002-0000-0100-000002000000}"/>
    <dataValidation allowBlank="1" showInputMessage="1" showErrorMessage="1" prompt="De automatisch bijgewerkte titel is in deze cel opgenomen. Als u de titel wilt wijzigen, werk dan B1 in het januari-werkblad bij" sqref="B1" xr:uid="{00000000-0002-0000-0100-000003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100-000004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100-000005000000}"/>
    <dataValidation allowBlank="1" showInputMessage="1" showErrorMessage="1" prompt="Deze rij definieert de sleutels die worden gebruikt in de tabel: cel C2 is vakantie, G2 is persoonlijk en K2 is ziekteverlof. De cellen N2 en R2 kunnen worden aangepast " sqref="B2" xr:uid="{00000000-0002-0000-0100-000006000000}"/>
    <dataValidation allowBlank="1" showInputMessage="1" showErrorMessage="1" prompt="Voer links een label om de aangepaste sleutel te beschrijven in" sqref="O2:Q2 S2:U2" xr:uid="{00000000-0002-0000-0100-000007000000}"/>
    <dataValidation allowBlank="1" showInputMessage="1" showErrorMessage="1" prompt="Voer een letter in en pas rechts het label aan om een ander sleutelitem toe te voegen" sqref="N2 R2" xr:uid="{00000000-0002-0000-0100-000008000000}"/>
    <dataValidation allowBlank="1" showInputMessage="1" showErrorMessage="1" prompt="De letter &quot;Z&quot; geeft afwezigheid vanwege ziekte aan" sqref="K2" xr:uid="{00000000-0002-0000-0100-000009000000}"/>
    <dataValidation allowBlank="1" showInputMessage="1" showErrorMessage="1" prompt="De letter &quot;P&quot; geeft afwezigheid vanwege persoonlijke redenen aan" sqref="G2" xr:uid="{00000000-0002-0000-0100-00000A000000}"/>
    <dataValidation allowBlank="1" showInputMessage="1" showErrorMessage="1" prompt="De letter &quot;V&quot; geeft afwezigheid vanwege vakantie aan" sqref="C2" xr:uid="{00000000-0002-0000-0100-00000B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100-00000C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1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r:uid="{00000000-0002-0000-0100-00000E000000}">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499984740745262"/>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54</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TEXT(WEEKDAY(DATE(CalendarYear,3,1),1),"aaa")</f>
        <v>di</v>
      </c>
      <c r="D5" s="2" t="str">
        <f>TEXT(WEEKDAY(DATE(CalendarYear,3,2),1),"aaa")</f>
        <v>wo</v>
      </c>
      <c r="E5" s="2" t="str">
        <f>TEXT(WEEKDAY(DATE(CalendarYear,3,3),1),"aaa")</f>
        <v>do</v>
      </c>
      <c r="F5" s="2" t="str">
        <f>TEXT(WEEKDAY(DATE(CalendarYear,3,4),1),"aaa")</f>
        <v>vr</v>
      </c>
      <c r="G5" s="2" t="str">
        <f>TEXT(WEEKDAY(DATE(CalendarYear,3,5),1),"aaa")</f>
        <v>za</v>
      </c>
      <c r="H5" s="2" t="str">
        <f>TEXT(WEEKDAY(DATE(CalendarYear,3,6),1),"aaa")</f>
        <v>zo</v>
      </c>
      <c r="I5" s="2" t="str">
        <f>TEXT(WEEKDAY(DATE(CalendarYear,3,7),1),"aaa")</f>
        <v>ma</v>
      </c>
      <c r="J5" s="2" t="str">
        <f>TEXT(WEEKDAY(DATE(CalendarYear,3,8),1),"aaa")</f>
        <v>di</v>
      </c>
      <c r="K5" s="2" t="str">
        <f>TEXT(WEEKDAY(DATE(CalendarYear,3,9),1),"aaa")</f>
        <v>wo</v>
      </c>
      <c r="L5" s="2" t="str">
        <f>TEXT(WEEKDAY(DATE(CalendarYear,3,10),1),"aaa")</f>
        <v>do</v>
      </c>
      <c r="M5" s="2" t="str">
        <f>TEXT(WEEKDAY(DATE(CalendarYear,3,11),1),"aaa")</f>
        <v>vr</v>
      </c>
      <c r="N5" s="2" t="str">
        <f>TEXT(WEEKDAY(DATE(CalendarYear,3,12),1),"aaa")</f>
        <v>za</v>
      </c>
      <c r="O5" s="2" t="str">
        <f>TEXT(WEEKDAY(DATE(CalendarYear,3,13),1),"aaa")</f>
        <v>zo</v>
      </c>
      <c r="P5" s="2" t="str">
        <f>TEXT(WEEKDAY(DATE(CalendarYear,3,14),1),"aaa")</f>
        <v>ma</v>
      </c>
      <c r="Q5" s="2" t="str">
        <f>TEXT(WEEKDAY(DATE(CalendarYear,3,15),1),"aaa")</f>
        <v>di</v>
      </c>
      <c r="R5" s="2" t="str">
        <f>TEXT(WEEKDAY(DATE(CalendarYear,3,16),1),"aaa")</f>
        <v>wo</v>
      </c>
      <c r="S5" s="2" t="str">
        <f>TEXT(WEEKDAY(DATE(CalendarYear,3,17),1),"aaa")</f>
        <v>do</v>
      </c>
      <c r="T5" s="2" t="str">
        <f>TEXT(WEEKDAY(DATE(CalendarYear,3,18),1),"aaa")</f>
        <v>vr</v>
      </c>
      <c r="U5" s="2" t="str">
        <f>TEXT(WEEKDAY(DATE(CalendarYear,3,19),1),"aaa")</f>
        <v>za</v>
      </c>
      <c r="V5" s="2" t="str">
        <f>TEXT(WEEKDAY(DATE(CalendarYear,3,20),1),"aaa")</f>
        <v>zo</v>
      </c>
      <c r="W5" s="2" t="str">
        <f>TEXT(WEEKDAY(DATE(CalendarYear,3,21),1),"aaa")</f>
        <v>ma</v>
      </c>
      <c r="X5" s="2" t="str">
        <f>TEXT(WEEKDAY(DATE(CalendarYear,3,22),1),"aaa")</f>
        <v>di</v>
      </c>
      <c r="Y5" s="2" t="str">
        <f>TEXT(WEEKDAY(DATE(CalendarYear,3,23),1),"aaa")</f>
        <v>wo</v>
      </c>
      <c r="Z5" s="2" t="str">
        <f>TEXT(WEEKDAY(DATE(CalendarYear,3,24),1),"aaa")</f>
        <v>do</v>
      </c>
      <c r="AA5" s="2" t="str">
        <f>TEXT(WEEKDAY(DATE(CalendarYear,3,25),1),"aaa")</f>
        <v>vr</v>
      </c>
      <c r="AB5" s="2" t="str">
        <f>TEXT(WEEKDAY(DATE(CalendarYear,3,26),1),"aaa")</f>
        <v>za</v>
      </c>
      <c r="AC5" s="2" t="str">
        <f>TEXT(WEEKDAY(DATE(CalendarYear,3,27),1),"aaa")</f>
        <v>zo</v>
      </c>
      <c r="AD5" s="2" t="str">
        <f>TEXT(WEEKDAY(DATE(CalendarYear,3,28),1),"aaa")</f>
        <v>ma</v>
      </c>
      <c r="AE5" s="2" t="str">
        <f>TEXT(WEEKDAY(DATE(CalendarYear,3,29),1),"aaa")</f>
        <v>di</v>
      </c>
      <c r="AF5" s="2" t="str">
        <f>TEXT(WEEKDAY(DATE(CalendarYear,3,30),1),"aaa")</f>
        <v>wo</v>
      </c>
      <c r="AG5" s="2" t="str">
        <f>TEXT(WEEKDAY(DATE(CalendarYear,3,31),1),"aaa")</f>
        <v>do</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COUNTA(Maart[[#This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COUNTA(Maart[[#This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COUNTA(Maart[[#This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COUNTA(Maart[[#This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COUNTA(Maart[[#This Row],[1]:[31]])</f>
        <v>0</v>
      </c>
    </row>
    <row r="12" spans="2:34" ht="30" customHeight="1" x14ac:dyDescent="0.25">
      <c r="B12" s="17" t="str">
        <f>MonthName&amp;" totaal"</f>
        <v>Maart totaal</v>
      </c>
      <c r="C12" s="10">
        <f>SUBTOTAL(103,Maart[1])</f>
        <v>0</v>
      </c>
      <c r="D12" s="10">
        <f>SUBTOTAL(103,Maart[2])</f>
        <v>0</v>
      </c>
      <c r="E12" s="10">
        <f>SUBTOTAL(103,Maart[3])</f>
        <v>0</v>
      </c>
      <c r="F12" s="10">
        <f>SUBTOTAL(103,Maart[4])</f>
        <v>0</v>
      </c>
      <c r="G12" s="10">
        <f>SUBTOTAL(103,Maart[5])</f>
        <v>0</v>
      </c>
      <c r="H12" s="10">
        <f>SUBTOTAL(103,Maart[6])</f>
        <v>0</v>
      </c>
      <c r="I12" s="10">
        <f>SUBTOTAL(103,Maart[7])</f>
        <v>0</v>
      </c>
      <c r="J12" s="10">
        <f>SUBTOTAL(103,Maart[8])</f>
        <v>0</v>
      </c>
      <c r="K12" s="10">
        <f>SUBTOTAL(103,Maart[9])</f>
        <v>0</v>
      </c>
      <c r="L12" s="10">
        <f>SUBTOTAL(103,Maart[10])</f>
        <v>0</v>
      </c>
      <c r="M12" s="10">
        <f>SUBTOTAL(103,Maart[11])</f>
        <v>0</v>
      </c>
      <c r="N12" s="10">
        <f>SUBTOTAL(103,Maart[12])</f>
        <v>0</v>
      </c>
      <c r="O12" s="10">
        <f>SUBTOTAL(103,Maart[13])</f>
        <v>0</v>
      </c>
      <c r="P12" s="10">
        <f>SUBTOTAL(103,Maart[14])</f>
        <v>0</v>
      </c>
      <c r="Q12" s="10">
        <f>SUBTOTAL(103,Maart[15])</f>
        <v>0</v>
      </c>
      <c r="R12" s="10">
        <f>SUBTOTAL(103,Maart[16])</f>
        <v>0</v>
      </c>
      <c r="S12" s="10">
        <f>SUBTOTAL(103,Maart[17])</f>
        <v>0</v>
      </c>
      <c r="T12" s="10">
        <f>SUBTOTAL(103,Maart[18])</f>
        <v>0</v>
      </c>
      <c r="U12" s="10">
        <f>SUBTOTAL(103,Maart[19])</f>
        <v>0</v>
      </c>
      <c r="V12" s="10">
        <f>SUBTOTAL(103,Maart[20])</f>
        <v>0</v>
      </c>
      <c r="W12" s="10">
        <f>SUBTOTAL(103,Maart[21])</f>
        <v>0</v>
      </c>
      <c r="X12" s="10">
        <f>SUBTOTAL(103,Maart[22])</f>
        <v>0</v>
      </c>
      <c r="Y12" s="10">
        <f>SUBTOTAL(103,Maart[23])</f>
        <v>0</v>
      </c>
      <c r="Z12" s="10">
        <f>SUBTOTAL(103,Maart[24])</f>
        <v>0</v>
      </c>
      <c r="AA12" s="10">
        <f>SUBTOTAL(103,Maart[25])</f>
        <v>0</v>
      </c>
      <c r="AB12" s="10">
        <f>SUBTOTAL(103,Maart[26])</f>
        <v>0</v>
      </c>
      <c r="AC12" s="10">
        <f>SUBTOTAL(103,Maart[27])</f>
        <v>0</v>
      </c>
      <c r="AD12" s="10">
        <f>SUBTOTAL(103,Maart[28])</f>
        <v>0</v>
      </c>
      <c r="AE12" s="10">
        <f>SUBTOTAL(103,Maart[29])</f>
        <v>0</v>
      </c>
      <c r="AF12" s="10">
        <f>SUBTOTAL(109,Maart[30])</f>
        <v>0</v>
      </c>
      <c r="AG12" s="10">
        <f>SUBTOTAL(109,Maart[31])</f>
        <v>0</v>
      </c>
      <c r="AH12" s="10">
        <f>SUBTOTAL(109,Maart[Totaal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739" priority="2" stopIfTrue="1">
      <formula>C7=KeyCustom2</formula>
    </cfRule>
    <cfRule type="expression" dxfId="738" priority="3" stopIfTrue="1">
      <formula>C7=KeyCustom1</formula>
    </cfRule>
    <cfRule type="expression" dxfId="737" priority="4" stopIfTrue="1">
      <formula>C7=KeySick</formula>
    </cfRule>
    <cfRule type="expression" dxfId="736" priority="5" stopIfTrue="1">
      <formula>C7=KeyPersonal</formula>
    </cfRule>
    <cfRule type="expression" dxfId="735"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200-000000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200-000001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200-000002000000}"/>
    <dataValidation allowBlank="1" showInputMessage="1" showErrorMessage="1" prompt="Deze rij definieert de sleutels die worden gebruikt in de tabel: cel C2 is vakantie, G2 is persoonlijk en K2 is ziekteverlof. De cellen N2 en R2 kunnen worden aangepast " sqref="B2" xr:uid="{00000000-0002-0000-0200-000003000000}"/>
    <dataValidation allowBlank="1" showInputMessage="1" showErrorMessage="1" prompt="Voer links een label om de aangepaste sleutel te beschrijven in" sqref="O2:Q2 S2:U2" xr:uid="{00000000-0002-0000-0200-000004000000}"/>
    <dataValidation allowBlank="1" showInputMessage="1" showErrorMessage="1" prompt="Voer een letter in en pas rechts het label aan om een ander sleutelitem toe te voegen" sqref="N2 R2" xr:uid="{00000000-0002-0000-0200-000005000000}"/>
    <dataValidation allowBlank="1" showInputMessage="1" showErrorMessage="1" prompt="De letter &quot;Z&quot; geeft afwezigheid vanwege ziekte aan" sqref="K2" xr:uid="{00000000-0002-0000-0200-000006000000}"/>
    <dataValidation allowBlank="1" showInputMessage="1" showErrorMessage="1" prompt="De letter &quot;P&quot; geeft afwezigheid vanwege persoonlijke redenen aan" sqref="G2" xr:uid="{00000000-0002-0000-0200-000007000000}"/>
    <dataValidation allowBlank="1" showInputMessage="1" showErrorMessage="1" prompt="De letter &quot;V&quot; geeft afwezigheid vanwege vakantie aan" sqref="C2" xr:uid="{00000000-0002-0000-0200-000008000000}"/>
    <dataValidation allowBlank="1" showInputMessage="1" showErrorMessage="1" prompt="De automatisch bijgewerkte titel is in deze cel opgenomen. Als u de titel wilt wijzigen, werk dan B1 in het januari-werkblad bij" sqref="B1" xr:uid="{00000000-0002-0000-0200-000009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200-00000A000000}"/>
    <dataValidation allowBlank="1" showInputMessage="1" showErrorMessage="1" prompt="Houd de afwezigheid in maart in dit werkblad bij" sqref="A1" xr:uid="{00000000-0002-0000-0200-00000B000000}"/>
    <dataValidation allowBlank="1" showInputMessage="1" showErrorMessage="1" prompt="Berekent automatisch het totaal aantal dagen die een werknemer in deze maand niet aanwezig was in deze kolom" sqref="AH6" xr:uid="{00000000-0002-0000-0200-00000C000000}"/>
    <dataValidation allowBlank="1" showInputMessage="1" showErrorMessage="1" prompt="Automatisch bijgewerkt jaar op basis van het jaar dat in het werkblad januari is ingevoerd" sqref="AH4" xr:uid="{00000000-0002-0000-02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E000000}">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0.249977111117893"/>
    <pageSetUpPr fitToPage="1"/>
  </sheetPr>
  <dimension ref="B1:AH12"/>
  <sheetViews>
    <sheetView showGridLines="0" zoomScaleNormal="100" workbookViewId="0">
      <selection activeCell="D8" sqref="D8"/>
    </sheetView>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55</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TEXT(WEEKDAY(DATE(CalendarYear,4,1),1),"aaa")</f>
        <v>vr</v>
      </c>
      <c r="D5" s="2" t="str">
        <f>TEXT(WEEKDAY(DATE(CalendarYear,4,2),1),"aaa")</f>
        <v>za</v>
      </c>
      <c r="E5" s="2" t="str">
        <f>TEXT(WEEKDAY(DATE(CalendarYear,4,3),1),"aaa")</f>
        <v>zo</v>
      </c>
      <c r="F5" s="2" t="str">
        <f>TEXT(WEEKDAY(DATE(CalendarYear,4,4),1),"aaa")</f>
        <v>ma</v>
      </c>
      <c r="G5" s="2" t="str">
        <f>TEXT(WEEKDAY(DATE(CalendarYear,4,5),1),"aaa")</f>
        <v>di</v>
      </c>
      <c r="H5" s="2" t="str">
        <f>TEXT(WEEKDAY(DATE(CalendarYear,4,6),1),"aaa")</f>
        <v>wo</v>
      </c>
      <c r="I5" s="2" t="str">
        <f>TEXT(WEEKDAY(DATE(CalendarYear,4,7),1),"aaa")</f>
        <v>do</v>
      </c>
      <c r="J5" s="2" t="str">
        <f>TEXT(WEEKDAY(DATE(CalendarYear,4,8),1),"aaa")</f>
        <v>vr</v>
      </c>
      <c r="K5" s="2" t="str">
        <f>TEXT(WEEKDAY(DATE(CalendarYear,4,9),1),"aaa")</f>
        <v>za</v>
      </c>
      <c r="L5" s="2" t="str">
        <f>TEXT(WEEKDAY(DATE(CalendarYear,4,10),1),"aaa")</f>
        <v>zo</v>
      </c>
      <c r="M5" s="2" t="str">
        <f>TEXT(WEEKDAY(DATE(CalendarYear,4,11),1),"aaa")</f>
        <v>ma</v>
      </c>
      <c r="N5" s="2" t="str">
        <f>TEXT(WEEKDAY(DATE(CalendarYear,4,12),1),"aaa")</f>
        <v>di</v>
      </c>
      <c r="O5" s="2" t="str">
        <f>TEXT(WEEKDAY(DATE(CalendarYear,4,13),1),"aaa")</f>
        <v>wo</v>
      </c>
      <c r="P5" s="2" t="str">
        <f>TEXT(WEEKDAY(DATE(CalendarYear,4,14),1),"aaa")</f>
        <v>do</v>
      </c>
      <c r="Q5" s="2" t="str">
        <f>TEXT(WEEKDAY(DATE(CalendarYear,4,15),1),"aaa")</f>
        <v>vr</v>
      </c>
      <c r="R5" s="2" t="str">
        <f>TEXT(WEEKDAY(DATE(CalendarYear,4,16),1),"aaa")</f>
        <v>za</v>
      </c>
      <c r="S5" s="2" t="str">
        <f>TEXT(WEEKDAY(DATE(CalendarYear,4,17),1),"aaa")</f>
        <v>zo</v>
      </c>
      <c r="T5" s="2" t="str">
        <f>TEXT(WEEKDAY(DATE(CalendarYear,4,18),1),"aaa")</f>
        <v>ma</v>
      </c>
      <c r="U5" s="2" t="str">
        <f>TEXT(WEEKDAY(DATE(CalendarYear,4,19),1),"aaa")</f>
        <v>di</v>
      </c>
      <c r="V5" s="2" t="str">
        <f>TEXT(WEEKDAY(DATE(CalendarYear,4,20),1),"aaa")</f>
        <v>wo</v>
      </c>
      <c r="W5" s="2" t="str">
        <f>TEXT(WEEKDAY(DATE(CalendarYear,4,21),1),"aaa")</f>
        <v>do</v>
      </c>
      <c r="X5" s="2" t="str">
        <f>TEXT(WEEKDAY(DATE(CalendarYear,4,22),1),"aaa")</f>
        <v>vr</v>
      </c>
      <c r="Y5" s="2" t="str">
        <f>TEXT(WEEKDAY(DATE(CalendarYear,4,23),1),"aaa")</f>
        <v>za</v>
      </c>
      <c r="Z5" s="2" t="str">
        <f>TEXT(WEEKDAY(DATE(CalendarYear,4,24),1),"aaa")</f>
        <v>zo</v>
      </c>
      <c r="AA5" s="2" t="str">
        <f>TEXT(WEEKDAY(DATE(CalendarYear,4,25),1),"aaa")</f>
        <v>ma</v>
      </c>
      <c r="AB5" s="2" t="str">
        <f>TEXT(WEEKDAY(DATE(CalendarYear,4,26),1),"aaa")</f>
        <v>di</v>
      </c>
      <c r="AC5" s="2" t="str">
        <f>TEXT(WEEKDAY(DATE(CalendarYear,4,27),1),"aaa")</f>
        <v>wo</v>
      </c>
      <c r="AD5" s="2" t="str">
        <f>TEXT(WEEKDAY(DATE(CalendarYear,4,28),1),"aaa")</f>
        <v>do</v>
      </c>
      <c r="AE5" s="2" t="str">
        <f>TEXT(WEEKDAY(DATE(CalendarYear,4,29),1),"aaa")</f>
        <v>vr</v>
      </c>
      <c r="AF5" s="2" t="str">
        <f>TEXT(WEEKDAY(DATE(CalendarYear,4,30),1),"aaa")</f>
        <v>za</v>
      </c>
      <c r="AG5" s="2"/>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8"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COUNTA(April[[#This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COUNTA(April[[#This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COUNTA(April[[#This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COUNTA(April[[#This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COUNTA(April[[#This Row],[1]:[31]])</f>
        <v>0</v>
      </c>
    </row>
    <row r="12" spans="2:34" ht="30" customHeight="1" x14ac:dyDescent="0.25">
      <c r="B12" s="17" t="str">
        <f>MonthName&amp;" totaal"</f>
        <v>April totaal</v>
      </c>
      <c r="C12" s="10">
        <f>SUBTOTAL(103,April[1])</f>
        <v>0</v>
      </c>
      <c r="D12" s="10">
        <f>SUBTOTAL(103,April[2])</f>
        <v>0</v>
      </c>
      <c r="E12" s="10">
        <f>SUBTOTAL(103,April[3])</f>
        <v>0</v>
      </c>
      <c r="F12" s="10">
        <f>SUBTOTAL(103,April[4])</f>
        <v>0</v>
      </c>
      <c r="G12" s="10">
        <f>SUBTOTAL(103,April[5])</f>
        <v>0</v>
      </c>
      <c r="H12" s="10">
        <f>SUBTOTAL(103,April[6])</f>
        <v>0</v>
      </c>
      <c r="I12" s="10">
        <f>SUBTOTAL(103,April[7])</f>
        <v>0</v>
      </c>
      <c r="J12" s="10">
        <f>SUBTOTAL(103,April[8])</f>
        <v>0</v>
      </c>
      <c r="K12" s="10">
        <f>SUBTOTAL(103,April[9])</f>
        <v>0</v>
      </c>
      <c r="L12" s="10">
        <f>SUBTOTAL(103,April[10])</f>
        <v>0</v>
      </c>
      <c r="M12" s="10">
        <f>SUBTOTAL(103,April[11])</f>
        <v>0</v>
      </c>
      <c r="N12" s="10">
        <f>SUBTOTAL(103,April[12])</f>
        <v>0</v>
      </c>
      <c r="O12" s="10">
        <f>SUBTOTAL(103,April[13])</f>
        <v>0</v>
      </c>
      <c r="P12" s="10">
        <f>SUBTOTAL(103,April[14])</f>
        <v>0</v>
      </c>
      <c r="Q12" s="10">
        <f>SUBTOTAL(103,April[15])</f>
        <v>0</v>
      </c>
      <c r="R12" s="10">
        <f>SUBTOTAL(103,April[16])</f>
        <v>0</v>
      </c>
      <c r="S12" s="10">
        <f>SUBTOTAL(103,April[17])</f>
        <v>0</v>
      </c>
      <c r="T12" s="10">
        <f>SUBTOTAL(103,April[18])</f>
        <v>0</v>
      </c>
      <c r="U12" s="10">
        <f>SUBTOTAL(103,April[19])</f>
        <v>0</v>
      </c>
      <c r="V12" s="10">
        <f>SUBTOTAL(103,April[20])</f>
        <v>0</v>
      </c>
      <c r="W12" s="10">
        <f>SUBTOTAL(103,April[21])</f>
        <v>0</v>
      </c>
      <c r="X12" s="10">
        <f>SUBTOTAL(103,April[22])</f>
        <v>0</v>
      </c>
      <c r="Y12" s="10">
        <f>SUBTOTAL(103,April[23])</f>
        <v>0</v>
      </c>
      <c r="Z12" s="10">
        <f>SUBTOTAL(103,April[24])</f>
        <v>0</v>
      </c>
      <c r="AA12" s="10">
        <f>SUBTOTAL(103,April[25])</f>
        <v>0</v>
      </c>
      <c r="AB12" s="10">
        <f>SUBTOTAL(103,April[26])</f>
        <v>0</v>
      </c>
      <c r="AC12" s="10">
        <f>SUBTOTAL(103,April[27])</f>
        <v>0</v>
      </c>
      <c r="AD12" s="10">
        <f>SUBTOTAL(103,April[28])</f>
        <v>0</v>
      </c>
      <c r="AE12" s="10">
        <f>SUBTOTAL(103,April[29])</f>
        <v>0</v>
      </c>
      <c r="AF12" s="10">
        <f>SUBTOTAL(109,April[30])</f>
        <v>0</v>
      </c>
      <c r="AG12" s="10">
        <f>SUBTOTAL(109,April[31])</f>
        <v>0</v>
      </c>
      <c r="AH12" s="10">
        <f>SUBTOTAL(109,April[Totaal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665" priority="2" stopIfTrue="1">
      <formula>C7=KeyCustom2</formula>
    </cfRule>
    <cfRule type="expression" dxfId="664" priority="3" stopIfTrue="1">
      <formula>C7=KeyCustom1</formula>
    </cfRule>
    <cfRule type="expression" dxfId="663" priority="4" stopIfTrue="1">
      <formula>C7=KeySick</formula>
    </cfRule>
    <cfRule type="expression" dxfId="662" priority="5" stopIfTrue="1">
      <formula>C7=KeyPersonal</formula>
    </cfRule>
    <cfRule type="expression" dxfId="661"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dataValidations count="14">
    <dataValidation allowBlank="1" showInputMessage="1" showErrorMessage="1" prompt="Automatisch bijgewerkt jaar op basis van het jaar dat in het werkblad januari is ingevoerd" sqref="AH4" xr:uid="{00000000-0002-0000-0300-000000000000}"/>
    <dataValidation allowBlank="1" showInputMessage="1" showErrorMessage="1" prompt="Berekent automatisch het totaal aantal dagen die een werknemer in deze maand niet aanwezig was in deze kolom" sqref="AH6" xr:uid="{00000000-0002-0000-0300-000001000000}"/>
    <dataValidation allowBlank="1" showInputMessage="1" showErrorMessage="1" prompt="Houd de afwezigheid in april in dit werkblad bij" sqref="A1" xr:uid="{00000000-0002-0000-0300-000002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300-000003000000}"/>
    <dataValidation allowBlank="1" showInputMessage="1" showErrorMessage="1" prompt="De automatisch bijgewerkte titel is in deze cel opgenomen. Als u de titel wilt wijzigen, werk dan B1 in het januari-werkblad bij" sqref="B1" xr:uid="{00000000-0002-0000-0300-000004000000}"/>
    <dataValidation allowBlank="1" showInputMessage="1" showErrorMessage="1" prompt="De letter &quot;V&quot; geeft afwezigheid vanwege vakantie aan" sqref="C2" xr:uid="{00000000-0002-0000-0300-000005000000}"/>
    <dataValidation allowBlank="1" showInputMessage="1" showErrorMessage="1" prompt="De letter &quot;P&quot; geeft afwezigheid vanwege persoonlijke redenen aan" sqref="G2" xr:uid="{00000000-0002-0000-0300-000006000000}"/>
    <dataValidation allowBlank="1" showInputMessage="1" showErrorMessage="1" prompt="De letter &quot;Z&quot; geeft afwezigheid vanwege ziekte aan" sqref="K2" xr:uid="{00000000-0002-0000-0300-000007000000}"/>
    <dataValidation allowBlank="1" showInputMessage="1" showErrorMessage="1" prompt="Voer een letter in en pas rechts het label aan om een ander sleutelitem toe te voegen" sqref="N2 R2" xr:uid="{00000000-0002-0000-0300-000008000000}"/>
    <dataValidation allowBlank="1" showInputMessage="1" showErrorMessage="1" prompt="Voer links een label om de aangepaste sleutel te beschrijven in" sqref="O2:Q2 S2:U2" xr:uid="{00000000-0002-0000-0300-000009000000}"/>
    <dataValidation allowBlank="1" showInputMessage="1" showErrorMessage="1" prompt="Deze rij definieert de sleutels die worden gebruikt in de tabel: cel C2 is vakantie, G2 is persoonlijk en K2 is ziekteverlof. De cellen N2 en R2 kunnen worden aangepast " sqref="B2" xr:uid="{00000000-0002-0000-0300-00000A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300-00000B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300-00000C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3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E000000}">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63</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TEXT(WEEKDAY(DATE(CalendarYear,5,1),1),"aaa")</f>
        <v>zo</v>
      </c>
      <c r="D5" s="2" t="str">
        <f>TEXT(WEEKDAY(DATE(CalendarYear,5,2),1),"aaa")</f>
        <v>ma</v>
      </c>
      <c r="E5" s="2" t="str">
        <f>TEXT(WEEKDAY(DATE(CalendarYear,5,3),1),"aaa")</f>
        <v>di</v>
      </c>
      <c r="F5" s="2" t="str">
        <f>TEXT(WEEKDAY(DATE(CalendarYear,5,4),1),"aaa")</f>
        <v>wo</v>
      </c>
      <c r="G5" s="2" t="str">
        <f>TEXT(WEEKDAY(DATE(CalendarYear,5,5),1),"aaa")</f>
        <v>do</v>
      </c>
      <c r="H5" s="2" t="str">
        <f>TEXT(WEEKDAY(DATE(CalendarYear,5,6),1),"aaa")</f>
        <v>vr</v>
      </c>
      <c r="I5" s="2" t="str">
        <f>TEXT(WEEKDAY(DATE(CalendarYear,5,7),1),"aaa")</f>
        <v>za</v>
      </c>
      <c r="J5" s="2" t="str">
        <f>TEXT(WEEKDAY(DATE(CalendarYear,5,8),1),"aaa")</f>
        <v>zo</v>
      </c>
      <c r="K5" s="2" t="str">
        <f>TEXT(WEEKDAY(DATE(CalendarYear,5,9),1),"aaa")</f>
        <v>ma</v>
      </c>
      <c r="L5" s="2" t="str">
        <f>TEXT(WEEKDAY(DATE(CalendarYear,5,10),1),"aaa")</f>
        <v>di</v>
      </c>
      <c r="M5" s="2" t="str">
        <f>TEXT(WEEKDAY(DATE(CalendarYear,5,11),1),"aaa")</f>
        <v>wo</v>
      </c>
      <c r="N5" s="2" t="str">
        <f>TEXT(WEEKDAY(DATE(CalendarYear,5,12),1),"aaa")</f>
        <v>do</v>
      </c>
      <c r="O5" s="2" t="str">
        <f>TEXT(WEEKDAY(DATE(CalendarYear,5,13),1),"aaa")</f>
        <v>vr</v>
      </c>
      <c r="P5" s="2" t="str">
        <f>TEXT(WEEKDAY(DATE(CalendarYear,5,14),1),"aaa")</f>
        <v>za</v>
      </c>
      <c r="Q5" s="2" t="str">
        <f>TEXT(WEEKDAY(DATE(CalendarYear,5,15),1),"aaa")</f>
        <v>zo</v>
      </c>
      <c r="R5" s="2" t="str">
        <f>TEXT(WEEKDAY(DATE(CalendarYear,5,16),1),"aaa")</f>
        <v>ma</v>
      </c>
      <c r="S5" s="2" t="str">
        <f>TEXT(WEEKDAY(DATE(CalendarYear,5,17),1),"aaa")</f>
        <v>di</v>
      </c>
      <c r="T5" s="2" t="str">
        <f>TEXT(WEEKDAY(DATE(CalendarYear,5,18),1),"aaa")</f>
        <v>wo</v>
      </c>
      <c r="U5" s="2" t="str">
        <f>TEXT(WEEKDAY(DATE(CalendarYear,5,19),1),"aaa")</f>
        <v>do</v>
      </c>
      <c r="V5" s="2" t="str">
        <f>TEXT(WEEKDAY(DATE(CalendarYear,5,20),1),"aaa")</f>
        <v>vr</v>
      </c>
      <c r="W5" s="2" t="str">
        <f>TEXT(WEEKDAY(DATE(CalendarYear,5,21),1),"aaa")</f>
        <v>za</v>
      </c>
      <c r="X5" s="2" t="str">
        <f>TEXT(WEEKDAY(DATE(CalendarYear,5,22),1),"aaa")</f>
        <v>zo</v>
      </c>
      <c r="Y5" s="2" t="str">
        <f>TEXT(WEEKDAY(DATE(CalendarYear,5,23),1),"aaa")</f>
        <v>ma</v>
      </c>
      <c r="Z5" s="2" t="str">
        <f>TEXT(WEEKDAY(DATE(CalendarYear,5,24),1),"aaa")</f>
        <v>di</v>
      </c>
      <c r="AA5" s="2" t="str">
        <f>TEXT(WEEKDAY(DATE(CalendarYear,5,25),1),"aaa")</f>
        <v>wo</v>
      </c>
      <c r="AB5" s="2" t="str">
        <f>TEXT(WEEKDAY(DATE(CalendarYear,5,26),1),"aaa")</f>
        <v>do</v>
      </c>
      <c r="AC5" s="2" t="str">
        <f>TEXT(WEEKDAY(DATE(CalendarYear,5,27),1),"aaa")</f>
        <v>vr</v>
      </c>
      <c r="AD5" s="2" t="str">
        <f>TEXT(WEEKDAY(DATE(CalendarYear,5,28),1),"aaa")</f>
        <v>za</v>
      </c>
      <c r="AE5" s="2" t="str">
        <f>TEXT(WEEKDAY(DATE(CalendarYear,5,29),1),"aaa")</f>
        <v>zo</v>
      </c>
      <c r="AF5" s="2" t="str">
        <f>TEXT(WEEKDAY(DATE(CalendarYear,5,30),1),"aaa")</f>
        <v>ma</v>
      </c>
      <c r="AG5" s="2" t="str">
        <f>TEXT(WEEKDAY(DATE(CalendarYear,5,31),1),"aaa")</f>
        <v>di</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COUNTA(Mei[[#This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COUNTA(Mei[[#This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COUNTA(Mei[[#This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COUNTA(Mei[[#This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COUNTA(Mei[[#This Row],[1]:[31]])</f>
        <v>0</v>
      </c>
    </row>
    <row r="12" spans="2:34" ht="30" customHeight="1" x14ac:dyDescent="0.25">
      <c r="B12" s="17" t="str">
        <f>MonthName&amp;" totaal"</f>
        <v>Mei totaal</v>
      </c>
      <c r="C12" s="10">
        <f>SUBTOTAL(103,Mei[1])</f>
        <v>0</v>
      </c>
      <c r="D12" s="10">
        <f>SUBTOTAL(103,Mei[2])</f>
        <v>0</v>
      </c>
      <c r="E12" s="10">
        <f>SUBTOTAL(103,Mei[3])</f>
        <v>0</v>
      </c>
      <c r="F12" s="10">
        <f>SUBTOTAL(103,Mei[4])</f>
        <v>0</v>
      </c>
      <c r="G12" s="10">
        <f>SUBTOTAL(103,Mei[5])</f>
        <v>0</v>
      </c>
      <c r="H12" s="10">
        <f>SUBTOTAL(103,Mei[6])</f>
        <v>0</v>
      </c>
      <c r="I12" s="10">
        <f>SUBTOTAL(103,Mei[7])</f>
        <v>0</v>
      </c>
      <c r="J12" s="10">
        <f>SUBTOTAL(103,Mei[8])</f>
        <v>0</v>
      </c>
      <c r="K12" s="10">
        <f>SUBTOTAL(103,Mei[9])</f>
        <v>0</v>
      </c>
      <c r="L12" s="10">
        <f>SUBTOTAL(103,Mei[10])</f>
        <v>0</v>
      </c>
      <c r="M12" s="10">
        <f>SUBTOTAL(103,Mei[11])</f>
        <v>0</v>
      </c>
      <c r="N12" s="10">
        <f>SUBTOTAL(103,Mei[12])</f>
        <v>0</v>
      </c>
      <c r="O12" s="10">
        <f>SUBTOTAL(103,Mei[13])</f>
        <v>0</v>
      </c>
      <c r="P12" s="10">
        <f>SUBTOTAL(103,Mei[14])</f>
        <v>0</v>
      </c>
      <c r="Q12" s="10">
        <f>SUBTOTAL(103,Mei[15])</f>
        <v>0</v>
      </c>
      <c r="R12" s="10">
        <f>SUBTOTAL(103,Mei[16])</f>
        <v>0</v>
      </c>
      <c r="S12" s="10">
        <f>SUBTOTAL(103,Mei[17])</f>
        <v>0</v>
      </c>
      <c r="T12" s="10">
        <f>SUBTOTAL(103,Mei[18])</f>
        <v>0</v>
      </c>
      <c r="U12" s="10">
        <f>SUBTOTAL(103,Mei[19])</f>
        <v>0</v>
      </c>
      <c r="V12" s="10">
        <f>SUBTOTAL(103,Mei[20])</f>
        <v>0</v>
      </c>
      <c r="W12" s="10">
        <f>SUBTOTAL(103,Mei[21])</f>
        <v>0</v>
      </c>
      <c r="X12" s="10">
        <f>SUBTOTAL(103,Mei[22])</f>
        <v>0</v>
      </c>
      <c r="Y12" s="10">
        <f>SUBTOTAL(103,Mei[23])</f>
        <v>0</v>
      </c>
      <c r="Z12" s="10">
        <f>SUBTOTAL(103,Mei[24])</f>
        <v>0</v>
      </c>
      <c r="AA12" s="10">
        <f>SUBTOTAL(103,Mei[25])</f>
        <v>0</v>
      </c>
      <c r="AB12" s="10">
        <f>SUBTOTAL(103,Mei[26])</f>
        <v>0</v>
      </c>
      <c r="AC12" s="10">
        <f>SUBTOTAL(103,Mei[27])</f>
        <v>0</v>
      </c>
      <c r="AD12" s="10">
        <f>SUBTOTAL(103,Mei[28])</f>
        <v>0</v>
      </c>
      <c r="AE12" s="10">
        <f>SUBTOTAL(103,Mei[29])</f>
        <v>0</v>
      </c>
      <c r="AF12" s="10">
        <f>SUBTOTAL(109,Mei[30])</f>
        <v>0</v>
      </c>
      <c r="AG12" s="10">
        <f>SUBTOTAL(109,Mei[31])</f>
        <v>0</v>
      </c>
      <c r="AH12" s="10">
        <f>SUBTOTAL(109,Mei[Totaal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624" priority="2" stopIfTrue="1">
      <formula>C7=KeyCustom2</formula>
    </cfRule>
    <cfRule type="expression" dxfId="623" priority="3" stopIfTrue="1">
      <formula>C7=KeyCustom1</formula>
    </cfRule>
    <cfRule type="expression" dxfId="622" priority="4" stopIfTrue="1">
      <formula>C7=KeySick</formula>
    </cfRule>
    <cfRule type="expression" dxfId="621" priority="5" stopIfTrue="1">
      <formula>C7=KeyPersonal</formula>
    </cfRule>
    <cfRule type="expression" dxfId="620"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400-000000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400-000001000000}"/>
    <dataValidation allowBlank="1" showInputMessage="1" showErrorMessage="1" prompt="Deze rij definieert de sleutels die worden gebruikt in de tabel: cel C2 is vakantie, G2 is persoonlijk en K2 is ziekteverlof. De cellen N2 en R2 kunnen worden aangepast " sqref="B2" xr:uid="{00000000-0002-0000-0400-000002000000}"/>
    <dataValidation allowBlank="1" showInputMessage="1" showErrorMessage="1" prompt="Voer links een label om de aangepaste sleutel te beschrijven in" sqref="O2:Q2 S2:U2" xr:uid="{00000000-0002-0000-0400-000003000000}"/>
    <dataValidation allowBlank="1" showInputMessage="1" showErrorMessage="1" prompt="Voer een letter in en pas rechts het label aan om een ander sleutelitem toe te voegen" sqref="N2 R2" xr:uid="{00000000-0002-0000-0400-000004000000}"/>
    <dataValidation allowBlank="1" showInputMessage="1" showErrorMessage="1" prompt="De letter &quot;Z&quot; geeft afwezigheid vanwege ziekte aan" sqref="K2" xr:uid="{00000000-0002-0000-0400-000005000000}"/>
    <dataValidation allowBlank="1" showInputMessage="1" showErrorMessage="1" prompt="De letter &quot;P&quot; geeft afwezigheid vanwege persoonlijke redenen aan" sqref="G2" xr:uid="{00000000-0002-0000-0400-000006000000}"/>
    <dataValidation allowBlank="1" showInputMessage="1" showErrorMessage="1" prompt="De letter &quot;V&quot; geeft afwezigheid vanwege vakantie aan" sqref="C2" xr:uid="{00000000-0002-0000-0400-000007000000}"/>
    <dataValidation allowBlank="1" showInputMessage="1" showErrorMessage="1" prompt="De automatisch bijgewerkte titel is in deze cel opgenomen. Als u de titel wilt wijzigen, werk dan B1 in het januari-werkblad bij" sqref="B1" xr:uid="{00000000-0002-0000-0400-000008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400-000009000000}"/>
    <dataValidation allowBlank="1" showInputMessage="1" showErrorMessage="1" prompt="Houd de afwezigheid in mei in dit werkblad bij" sqref="A1" xr:uid="{00000000-0002-0000-0400-00000A000000}"/>
    <dataValidation allowBlank="1" showInputMessage="1" showErrorMessage="1" prompt="Berekent automatisch het totaal aantal dagen die een werknemer in deze maand niet aanwezig was in deze kolom" sqref="AH6" xr:uid="{00000000-0002-0000-0400-00000B000000}"/>
    <dataValidation allowBlank="1" showInputMessage="1" showErrorMessage="1" prompt="Automatisch bijgewerkt jaar op basis van het jaar dat in het werkblad januari is ingevoerd" sqref="AH4" xr:uid="{00000000-0002-0000-0400-00000C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4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E000000}">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56</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TEXT(WEEKDAY(DATE(CalendarYear,6,1),1),"aaa")</f>
        <v>wo</v>
      </c>
      <c r="D5" s="2" t="str">
        <f>TEXT(WEEKDAY(DATE(CalendarYear,6,2),1),"aaa")</f>
        <v>do</v>
      </c>
      <c r="E5" s="2" t="str">
        <f>TEXT(WEEKDAY(DATE(CalendarYear,6,3),1),"aaa")</f>
        <v>vr</v>
      </c>
      <c r="F5" s="2" t="str">
        <f>TEXT(WEEKDAY(DATE(CalendarYear,6,4),1),"aaa")</f>
        <v>za</v>
      </c>
      <c r="G5" s="2" t="str">
        <f>TEXT(WEEKDAY(DATE(CalendarYear,6,5),1),"aaa")</f>
        <v>zo</v>
      </c>
      <c r="H5" s="2" t="str">
        <f>TEXT(WEEKDAY(DATE(CalendarYear,6,6),1),"aaa")</f>
        <v>ma</v>
      </c>
      <c r="I5" s="2" t="str">
        <f>TEXT(WEEKDAY(DATE(CalendarYear,6,7),1),"aaa")</f>
        <v>di</v>
      </c>
      <c r="J5" s="2" t="str">
        <f>TEXT(WEEKDAY(DATE(CalendarYear,6,8),1),"aaa")</f>
        <v>wo</v>
      </c>
      <c r="K5" s="2" t="str">
        <f>TEXT(WEEKDAY(DATE(CalendarYear,6,9),1),"aaa")</f>
        <v>do</v>
      </c>
      <c r="L5" s="2" t="str">
        <f>TEXT(WEEKDAY(DATE(CalendarYear,6,10),1),"aaa")</f>
        <v>vr</v>
      </c>
      <c r="M5" s="2" t="str">
        <f>TEXT(WEEKDAY(DATE(CalendarYear,6,11),1),"aaa")</f>
        <v>za</v>
      </c>
      <c r="N5" s="2" t="str">
        <f>TEXT(WEEKDAY(DATE(CalendarYear,6,12),1),"aaa")</f>
        <v>zo</v>
      </c>
      <c r="O5" s="2" t="str">
        <f>TEXT(WEEKDAY(DATE(CalendarYear,6,13),1),"aaa")</f>
        <v>ma</v>
      </c>
      <c r="P5" s="2" t="str">
        <f>TEXT(WEEKDAY(DATE(CalendarYear,6,14),1),"aaa")</f>
        <v>di</v>
      </c>
      <c r="Q5" s="2" t="str">
        <f>TEXT(WEEKDAY(DATE(CalendarYear,6,15),1),"aaa")</f>
        <v>wo</v>
      </c>
      <c r="R5" s="2" t="str">
        <f>TEXT(WEEKDAY(DATE(CalendarYear,6,16),1),"aaa")</f>
        <v>do</v>
      </c>
      <c r="S5" s="2" t="str">
        <f>TEXT(WEEKDAY(DATE(CalendarYear,6,17),1),"aaa")</f>
        <v>vr</v>
      </c>
      <c r="T5" s="2" t="str">
        <f>TEXT(WEEKDAY(DATE(CalendarYear,6,18),1),"aaa")</f>
        <v>za</v>
      </c>
      <c r="U5" s="2" t="str">
        <f>TEXT(WEEKDAY(DATE(CalendarYear,6,19),1),"aaa")</f>
        <v>zo</v>
      </c>
      <c r="V5" s="2" t="str">
        <f>TEXT(WEEKDAY(DATE(CalendarYear,6,20),1),"aaa")</f>
        <v>ma</v>
      </c>
      <c r="W5" s="2" t="str">
        <f>TEXT(WEEKDAY(DATE(CalendarYear,6,21),1),"aaa")</f>
        <v>di</v>
      </c>
      <c r="X5" s="2" t="str">
        <f>TEXT(WEEKDAY(DATE(CalendarYear,6,22),1),"aaa")</f>
        <v>wo</v>
      </c>
      <c r="Y5" s="2" t="str">
        <f>TEXT(WEEKDAY(DATE(CalendarYear,6,23),1),"aaa")</f>
        <v>do</v>
      </c>
      <c r="Z5" s="2" t="str">
        <f>TEXT(WEEKDAY(DATE(CalendarYear,6,24),1),"aaa")</f>
        <v>vr</v>
      </c>
      <c r="AA5" s="2" t="str">
        <f>TEXT(WEEKDAY(DATE(CalendarYear,6,25),1),"aaa")</f>
        <v>za</v>
      </c>
      <c r="AB5" s="2" t="str">
        <f>TEXT(WEEKDAY(DATE(CalendarYear,6,26),1),"aaa")</f>
        <v>zo</v>
      </c>
      <c r="AC5" s="2" t="str">
        <f>TEXT(WEEKDAY(DATE(CalendarYear,6,27),1),"aaa")</f>
        <v>ma</v>
      </c>
      <c r="AD5" s="2" t="str">
        <f>TEXT(WEEKDAY(DATE(CalendarYear,6,28),1),"aaa")</f>
        <v>di</v>
      </c>
      <c r="AE5" s="2" t="str">
        <f>TEXT(WEEKDAY(DATE(CalendarYear,6,29),1),"aaa")</f>
        <v>wo</v>
      </c>
      <c r="AF5" s="2" t="str">
        <f>TEXT(WEEKDAY(DATE(CalendarYear,6,30),1),"aaa")</f>
        <v>do</v>
      </c>
      <c r="AG5" s="2"/>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COUNTA(Juni[[#This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COUNTA(Juni[[#This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COUNTA(Juni[[#This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COUNTA(Juni[[#This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COUNTA(Juni[[#This Row],[1]:[31]])</f>
        <v>0</v>
      </c>
    </row>
    <row r="12" spans="2:34" ht="30" customHeight="1" x14ac:dyDescent="0.25">
      <c r="B12" s="17" t="str">
        <f>MonthName&amp;" totaal"</f>
        <v>Juni totaal</v>
      </c>
      <c r="C12" s="10">
        <f>SUBTOTAL(103,Juni[1])</f>
        <v>0</v>
      </c>
      <c r="D12" s="10">
        <f>SUBTOTAL(103,Juni[2])</f>
        <v>0</v>
      </c>
      <c r="E12" s="10">
        <f>SUBTOTAL(103,Juni[3])</f>
        <v>0</v>
      </c>
      <c r="F12" s="10">
        <f>SUBTOTAL(103,Juni[4])</f>
        <v>0</v>
      </c>
      <c r="G12" s="10">
        <f>SUBTOTAL(103,Juni[5])</f>
        <v>0</v>
      </c>
      <c r="H12" s="10">
        <f>SUBTOTAL(103,Juni[6])</f>
        <v>0</v>
      </c>
      <c r="I12" s="10">
        <f>SUBTOTAL(103,Juni[7])</f>
        <v>0</v>
      </c>
      <c r="J12" s="10">
        <f>SUBTOTAL(103,Juni[8])</f>
        <v>0</v>
      </c>
      <c r="K12" s="10">
        <f>SUBTOTAL(103,Juni[9])</f>
        <v>0</v>
      </c>
      <c r="L12" s="10">
        <f>SUBTOTAL(103,Juni[10])</f>
        <v>0</v>
      </c>
      <c r="M12" s="10">
        <f>SUBTOTAL(103,Juni[11])</f>
        <v>0</v>
      </c>
      <c r="N12" s="10">
        <f>SUBTOTAL(103,Juni[12])</f>
        <v>0</v>
      </c>
      <c r="O12" s="10">
        <f>SUBTOTAL(103,Juni[13])</f>
        <v>0</v>
      </c>
      <c r="P12" s="10">
        <f>SUBTOTAL(103,Juni[14])</f>
        <v>0</v>
      </c>
      <c r="Q12" s="10">
        <f>SUBTOTAL(103,Juni[15])</f>
        <v>0</v>
      </c>
      <c r="R12" s="10">
        <f>SUBTOTAL(103,Juni[16])</f>
        <v>0</v>
      </c>
      <c r="S12" s="10">
        <f>SUBTOTAL(103,Juni[17])</f>
        <v>0</v>
      </c>
      <c r="T12" s="10">
        <f>SUBTOTAL(103,Juni[18])</f>
        <v>0</v>
      </c>
      <c r="U12" s="10">
        <f>SUBTOTAL(103,Juni[19])</f>
        <v>0</v>
      </c>
      <c r="V12" s="10">
        <f>SUBTOTAL(103,Juni[20])</f>
        <v>0</v>
      </c>
      <c r="W12" s="10">
        <f>SUBTOTAL(103,Juni[21])</f>
        <v>0</v>
      </c>
      <c r="X12" s="10">
        <f>SUBTOTAL(103,Juni[22])</f>
        <v>0</v>
      </c>
      <c r="Y12" s="10">
        <f>SUBTOTAL(103,Juni[23])</f>
        <v>0</v>
      </c>
      <c r="Z12" s="10">
        <f>SUBTOTAL(103,Juni[24])</f>
        <v>0</v>
      </c>
      <c r="AA12" s="10">
        <f>SUBTOTAL(103,Juni[25])</f>
        <v>0</v>
      </c>
      <c r="AB12" s="10">
        <f>SUBTOTAL(103,Juni[26])</f>
        <v>0</v>
      </c>
      <c r="AC12" s="10">
        <f>SUBTOTAL(103,Juni[27])</f>
        <v>0</v>
      </c>
      <c r="AD12" s="10">
        <f>SUBTOTAL(103,Juni[28])</f>
        <v>0</v>
      </c>
      <c r="AE12" s="10">
        <f>SUBTOTAL(103,Juni[29])</f>
        <v>0</v>
      </c>
      <c r="AF12" s="10">
        <f>SUBTOTAL(109,Juni[30])</f>
        <v>0</v>
      </c>
      <c r="AG12" s="10">
        <f>SUBTOTAL(109,Juni[31])</f>
        <v>0</v>
      </c>
      <c r="AH12" s="10">
        <f>SUBTOTAL(109,Juni[Totaal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550" priority="2" stopIfTrue="1">
      <formula>C7=KeyCustom2</formula>
    </cfRule>
    <cfRule type="expression" dxfId="549" priority="3" stopIfTrue="1">
      <formula>C7=KeyCustom1</formula>
    </cfRule>
    <cfRule type="expression" dxfId="548" priority="4" stopIfTrue="1">
      <formula>C7=KeySick</formula>
    </cfRule>
    <cfRule type="expression" dxfId="547" priority="5" stopIfTrue="1">
      <formula>C7=KeyPersonal</formula>
    </cfRule>
    <cfRule type="expression" dxfId="546"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500-000000000000}"/>
    <dataValidation allowBlank="1" showInputMessage="1" showErrorMessage="1" prompt="Automatisch bijgewerkt jaar op basis van het jaar dat in het werkblad januari is ingevoerd" sqref="AH4" xr:uid="{00000000-0002-0000-0500-000001000000}"/>
    <dataValidation allowBlank="1" showInputMessage="1" showErrorMessage="1" prompt="Berekent automatisch het totaal aantal dagen die een werknemer in deze maand niet aanwezig was in deze kolom" sqref="AH6" xr:uid="{00000000-0002-0000-0500-000002000000}"/>
    <dataValidation allowBlank="1" showInputMessage="1" showErrorMessage="1" prompt="Houd de afwezigheid in juni in dit werkblad bij" sqref="A1" xr:uid="{00000000-0002-0000-0500-000003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500-000004000000}"/>
    <dataValidation allowBlank="1" showInputMessage="1" showErrorMessage="1" prompt="De automatisch bijgewerkte titel is in deze cel opgenomen. Als u de titel wilt wijzigen, werk dan B1 in het januari-werkblad bij" sqref="B1" xr:uid="{00000000-0002-0000-0500-000005000000}"/>
    <dataValidation allowBlank="1" showInputMessage="1" showErrorMessage="1" prompt="De letter &quot;V&quot; geeft afwezigheid vanwege vakantie aan" sqref="C2" xr:uid="{00000000-0002-0000-0500-000006000000}"/>
    <dataValidation allowBlank="1" showInputMessage="1" showErrorMessage="1" prompt="De letter &quot;P&quot; geeft afwezigheid vanwege persoonlijke redenen aan" sqref="G2" xr:uid="{00000000-0002-0000-0500-000007000000}"/>
    <dataValidation allowBlank="1" showInputMessage="1" showErrorMessage="1" prompt="De letter &quot;Z&quot; geeft afwezigheid vanwege ziekte aan" sqref="K2" xr:uid="{00000000-0002-0000-0500-000008000000}"/>
    <dataValidation allowBlank="1" showInputMessage="1" showErrorMessage="1" prompt="Voer een letter in en pas rechts het label aan om een ander sleutelitem toe te voegen" sqref="N2 R2" xr:uid="{00000000-0002-0000-0500-000009000000}"/>
    <dataValidation allowBlank="1" showInputMessage="1" showErrorMessage="1" prompt="Voer links een label om de aangepaste sleutel te beschrijven in" sqref="O2:Q2 S2:U2" xr:uid="{00000000-0002-0000-0500-00000A000000}"/>
    <dataValidation allowBlank="1" showInputMessage="1" showErrorMessage="1" prompt="Deze rij definieert de sleutels die worden gebruikt in de tabel: cel C2 is vakantie, G2 is persoonlijk en K2 is ziekteverlof. De cellen N2 en R2 kunnen worden aangepast " sqref="B2" xr:uid="{00000000-0002-0000-0500-00000B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500-00000C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5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E000000}">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57</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TEXT(WEEKDAY(DATE(CalendarYear,7,1),1),"aaa")</f>
        <v>vr</v>
      </c>
      <c r="D5" s="2" t="str">
        <f>TEXT(WEEKDAY(DATE(CalendarYear,7,2),1),"aaa")</f>
        <v>za</v>
      </c>
      <c r="E5" s="2" t="str">
        <f>TEXT(WEEKDAY(DATE(CalendarYear,7,3),1),"aaa")</f>
        <v>zo</v>
      </c>
      <c r="F5" s="2" t="str">
        <f>TEXT(WEEKDAY(DATE(CalendarYear,7,4),1),"aaa")</f>
        <v>ma</v>
      </c>
      <c r="G5" s="2" t="str">
        <f>TEXT(WEEKDAY(DATE(CalendarYear,7,5),1),"aaa")</f>
        <v>di</v>
      </c>
      <c r="H5" s="2" t="str">
        <f>TEXT(WEEKDAY(DATE(CalendarYear,7,6),1),"aaa")</f>
        <v>wo</v>
      </c>
      <c r="I5" s="2" t="str">
        <f>TEXT(WEEKDAY(DATE(CalendarYear,7,7),1),"aaa")</f>
        <v>do</v>
      </c>
      <c r="J5" s="2" t="str">
        <f>TEXT(WEEKDAY(DATE(CalendarYear,7,8),1),"aaa")</f>
        <v>vr</v>
      </c>
      <c r="K5" s="2" t="str">
        <f>TEXT(WEEKDAY(DATE(CalendarYear,7,9),1),"aaa")</f>
        <v>za</v>
      </c>
      <c r="L5" s="2" t="str">
        <f>TEXT(WEEKDAY(DATE(CalendarYear,7,10),1),"aaa")</f>
        <v>zo</v>
      </c>
      <c r="M5" s="2" t="str">
        <f>TEXT(WEEKDAY(DATE(CalendarYear,7,11),1),"aaa")</f>
        <v>ma</v>
      </c>
      <c r="N5" s="2" t="str">
        <f>TEXT(WEEKDAY(DATE(CalendarYear,7,12),1),"aaa")</f>
        <v>di</v>
      </c>
      <c r="O5" s="2" t="str">
        <f>TEXT(WEEKDAY(DATE(CalendarYear,7,13),1),"aaa")</f>
        <v>wo</v>
      </c>
      <c r="P5" s="2" t="str">
        <f>TEXT(WEEKDAY(DATE(CalendarYear,7,14),1),"aaa")</f>
        <v>do</v>
      </c>
      <c r="Q5" s="2" t="str">
        <f>TEXT(WEEKDAY(DATE(CalendarYear,7,15),1),"aaa")</f>
        <v>vr</v>
      </c>
      <c r="R5" s="2" t="str">
        <f>TEXT(WEEKDAY(DATE(CalendarYear,7,16),1),"aaa")</f>
        <v>za</v>
      </c>
      <c r="S5" s="2" t="str">
        <f>TEXT(WEEKDAY(DATE(CalendarYear,7,17),1),"aaa")</f>
        <v>zo</v>
      </c>
      <c r="T5" s="2" t="str">
        <f>TEXT(WEEKDAY(DATE(CalendarYear,7,18),1),"aaa")</f>
        <v>ma</v>
      </c>
      <c r="U5" s="2" t="str">
        <f>TEXT(WEEKDAY(DATE(CalendarYear,7,19),1),"aaa")</f>
        <v>di</v>
      </c>
      <c r="V5" s="2" t="str">
        <f>TEXT(WEEKDAY(DATE(CalendarYear,7,20),1),"aaa")</f>
        <v>wo</v>
      </c>
      <c r="W5" s="2" t="str">
        <f>TEXT(WEEKDAY(DATE(CalendarYear,7,21),1),"aaa")</f>
        <v>do</v>
      </c>
      <c r="X5" s="2" t="str">
        <f>TEXT(WEEKDAY(DATE(CalendarYear,7,22),1),"aaa")</f>
        <v>vr</v>
      </c>
      <c r="Y5" s="2" t="str">
        <f>TEXT(WEEKDAY(DATE(CalendarYear,7,23),1),"aaa")</f>
        <v>za</v>
      </c>
      <c r="Z5" s="2" t="str">
        <f>TEXT(WEEKDAY(DATE(CalendarYear,7,24),1),"aaa")</f>
        <v>zo</v>
      </c>
      <c r="AA5" s="2" t="str">
        <f>TEXT(WEEKDAY(DATE(CalendarYear,7,25),1),"aaa")</f>
        <v>ma</v>
      </c>
      <c r="AB5" s="2" t="str">
        <f>TEXT(WEEKDAY(DATE(CalendarYear,7,26),1),"aaa")</f>
        <v>di</v>
      </c>
      <c r="AC5" s="2" t="str">
        <f>TEXT(WEEKDAY(DATE(CalendarYear,7,27),1),"aaa")</f>
        <v>wo</v>
      </c>
      <c r="AD5" s="2" t="str">
        <f>TEXT(WEEKDAY(DATE(CalendarYear,7,28),1),"aaa")</f>
        <v>do</v>
      </c>
      <c r="AE5" s="2" t="str">
        <f>TEXT(WEEKDAY(DATE(CalendarYear,7,29),1),"aaa")</f>
        <v>vr</v>
      </c>
      <c r="AF5" s="2" t="str">
        <f>TEXT(WEEKDAY(DATE(CalendarYear,7,30),1),"aaa")</f>
        <v>za</v>
      </c>
      <c r="AG5" s="2" t="str">
        <f>TEXT(WEEKDAY(DATE(CalendarYear,7,31),1),"aaa")</f>
        <v>zo</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COUNTA(Juli[[#This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COUNTA(Juli[[#This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COUNTA(Juli[[#This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COUNTA(Juli[[#This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COUNTA(Juli[[#This Row],[1]:[31]])</f>
        <v>0</v>
      </c>
    </row>
    <row r="12" spans="2:34" ht="30" customHeight="1" x14ac:dyDescent="0.25">
      <c r="B12" s="17" t="str">
        <f>MonthName&amp;" totaal"</f>
        <v>Juli totaal</v>
      </c>
      <c r="C12" s="10">
        <f>SUBTOTAL(103,Juli[1])</f>
        <v>0</v>
      </c>
      <c r="D12" s="10">
        <f>SUBTOTAL(103,Juli[2])</f>
        <v>0</v>
      </c>
      <c r="E12" s="10">
        <f>SUBTOTAL(103,Juli[3])</f>
        <v>0</v>
      </c>
      <c r="F12" s="10">
        <f>SUBTOTAL(103,Juli[4])</f>
        <v>0</v>
      </c>
      <c r="G12" s="10">
        <f>SUBTOTAL(103,Juli[5])</f>
        <v>0</v>
      </c>
      <c r="H12" s="10">
        <f>SUBTOTAL(103,Juli[6])</f>
        <v>0</v>
      </c>
      <c r="I12" s="10">
        <f>SUBTOTAL(103,Juli[7])</f>
        <v>0</v>
      </c>
      <c r="J12" s="10">
        <f>SUBTOTAL(103,Juli[8])</f>
        <v>0</v>
      </c>
      <c r="K12" s="10">
        <f>SUBTOTAL(103,Juli[9])</f>
        <v>0</v>
      </c>
      <c r="L12" s="10">
        <f>SUBTOTAL(103,Juli[10])</f>
        <v>0</v>
      </c>
      <c r="M12" s="10">
        <f>SUBTOTAL(103,Juli[11])</f>
        <v>0</v>
      </c>
      <c r="N12" s="10">
        <f>SUBTOTAL(103,Juli[12])</f>
        <v>0</v>
      </c>
      <c r="O12" s="10">
        <f>SUBTOTAL(103,Juli[13])</f>
        <v>0</v>
      </c>
      <c r="P12" s="10">
        <f>SUBTOTAL(103,Juli[14])</f>
        <v>0</v>
      </c>
      <c r="Q12" s="10">
        <f>SUBTOTAL(103,Juli[15])</f>
        <v>0</v>
      </c>
      <c r="R12" s="10">
        <f>SUBTOTAL(103,Juli[16])</f>
        <v>0</v>
      </c>
      <c r="S12" s="10">
        <f>SUBTOTAL(103,Juli[17])</f>
        <v>0</v>
      </c>
      <c r="T12" s="10">
        <f>SUBTOTAL(103,Juli[18])</f>
        <v>0</v>
      </c>
      <c r="U12" s="10">
        <f>SUBTOTAL(103,Juli[19])</f>
        <v>0</v>
      </c>
      <c r="V12" s="10">
        <f>SUBTOTAL(103,Juli[20])</f>
        <v>0</v>
      </c>
      <c r="W12" s="10">
        <f>SUBTOTAL(103,Juli[21])</f>
        <v>0</v>
      </c>
      <c r="X12" s="10">
        <f>SUBTOTAL(103,Juli[22])</f>
        <v>0</v>
      </c>
      <c r="Y12" s="10">
        <f>SUBTOTAL(103,Juli[23])</f>
        <v>0</v>
      </c>
      <c r="Z12" s="10">
        <f>SUBTOTAL(103,Juli[24])</f>
        <v>0</v>
      </c>
      <c r="AA12" s="10">
        <f>SUBTOTAL(103,Juli[25])</f>
        <v>0</v>
      </c>
      <c r="AB12" s="10">
        <f>SUBTOTAL(103,Juli[26])</f>
        <v>0</v>
      </c>
      <c r="AC12" s="10">
        <f>SUBTOTAL(103,Juli[27])</f>
        <v>0</v>
      </c>
      <c r="AD12" s="10">
        <f>SUBTOTAL(103,Juli[28])</f>
        <v>0</v>
      </c>
      <c r="AE12" s="10">
        <f>SUBTOTAL(103,Juli[29])</f>
        <v>0</v>
      </c>
      <c r="AF12" s="10">
        <f>SUBTOTAL(109,Juli[30])</f>
        <v>0</v>
      </c>
      <c r="AG12" s="10">
        <f>SUBTOTAL(109,Juli[31])</f>
        <v>0</v>
      </c>
      <c r="AH12" s="10">
        <f>SUBTOTAL(109,Juli[Totaal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476" priority="2" stopIfTrue="1">
      <formula>C7=KeyCustom2</formula>
    </cfRule>
    <cfRule type="expression" dxfId="475" priority="3" stopIfTrue="1">
      <formula>C7=KeyCustom1</formula>
    </cfRule>
    <cfRule type="expression" dxfId="474" priority="4" stopIfTrue="1">
      <formula>C7=KeySick</formula>
    </cfRule>
    <cfRule type="expression" dxfId="473" priority="5" stopIfTrue="1">
      <formula>C7=KeyPersonal</formula>
    </cfRule>
    <cfRule type="expression" dxfId="472"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600-000000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600-000001000000}"/>
    <dataValidation allowBlank="1" showInputMessage="1" showErrorMessage="1" prompt="Deze rij definieert de sleutels die worden gebruikt in de tabel: cel C2 is vakantie, G2 is persoonlijk en K2 is ziekteverlof. De cellen N2 en R2 kunnen worden aangepast " sqref="B2" xr:uid="{00000000-0002-0000-0600-000002000000}"/>
    <dataValidation allowBlank="1" showInputMessage="1" showErrorMessage="1" prompt="Voer links een label om de aangepaste sleutel te beschrijven in" sqref="O2:Q2 S2:U2" xr:uid="{00000000-0002-0000-0600-000003000000}"/>
    <dataValidation allowBlank="1" showInputMessage="1" showErrorMessage="1" prompt="Voer een letter in en pas rechts het label aan om een ander sleutelitem toe te voegen" sqref="N2 R2" xr:uid="{00000000-0002-0000-0600-000004000000}"/>
    <dataValidation allowBlank="1" showInputMessage="1" showErrorMessage="1" prompt="De letter &quot;Z&quot; geeft afwezigheid vanwege ziekte aan" sqref="K2" xr:uid="{00000000-0002-0000-0600-000005000000}"/>
    <dataValidation allowBlank="1" showInputMessage="1" showErrorMessage="1" prompt="De letter &quot;P&quot; geeft afwezigheid vanwege persoonlijke redenen aan" sqref="G2" xr:uid="{00000000-0002-0000-0600-000006000000}"/>
    <dataValidation allowBlank="1" showInputMessage="1" showErrorMessage="1" prompt="De letter &quot;V&quot; geeft afwezigheid vanwege vakantie aan" sqref="C2" xr:uid="{00000000-0002-0000-0600-000007000000}"/>
    <dataValidation allowBlank="1" showInputMessage="1" showErrorMessage="1" prompt="De automatisch bijgewerkte titel is in deze cel opgenomen. Als u de titel wilt wijzigen, werk dan B1 in het januari-werkblad bij" sqref="B1" xr:uid="{00000000-0002-0000-0600-000008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600-000009000000}"/>
    <dataValidation allowBlank="1" showInputMessage="1" showErrorMessage="1" prompt="Houd de afwezigheid in juli in dit werkblad bij" sqref="A1" xr:uid="{00000000-0002-0000-0600-00000A000000}"/>
    <dataValidation allowBlank="1" showInputMessage="1" showErrorMessage="1" prompt="Berekent automatisch het totaal aantal dagen die een werknemer in deze maand niet aanwezig was in deze kolom" sqref="AH6" xr:uid="{00000000-0002-0000-0600-00000B000000}"/>
    <dataValidation allowBlank="1" showInputMessage="1" showErrorMessage="1" prompt="Automatisch bijgewerkt jaar op basis van het jaar dat in het werkblad januari is ingevoerd" sqref="AH4" xr:uid="{00000000-0002-0000-0600-00000C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6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E000000}">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0.749992370372631"/>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58</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TEXT(WEEKDAY(DATE(CalendarYear,8,1),1),"aaa")</f>
        <v>ma</v>
      </c>
      <c r="D5" s="2" t="str">
        <f>TEXT(WEEKDAY(DATE(CalendarYear,8,2),1),"aaa")</f>
        <v>di</v>
      </c>
      <c r="E5" s="2" t="str">
        <f>TEXT(WEEKDAY(DATE(CalendarYear,8,3),1),"aaa")</f>
        <v>wo</v>
      </c>
      <c r="F5" s="2" t="str">
        <f>TEXT(WEEKDAY(DATE(CalendarYear,8,4),1),"aaa")</f>
        <v>do</v>
      </c>
      <c r="G5" s="2" t="str">
        <f>TEXT(WEEKDAY(DATE(CalendarYear,8,5),1),"aaa")</f>
        <v>vr</v>
      </c>
      <c r="H5" s="2" t="str">
        <f>TEXT(WEEKDAY(DATE(CalendarYear,8,6),1),"aaa")</f>
        <v>za</v>
      </c>
      <c r="I5" s="2" t="str">
        <f>TEXT(WEEKDAY(DATE(CalendarYear,8,7),1),"aaa")</f>
        <v>zo</v>
      </c>
      <c r="J5" s="2" t="str">
        <f>TEXT(WEEKDAY(DATE(CalendarYear,8,8),1),"aaa")</f>
        <v>ma</v>
      </c>
      <c r="K5" s="2" t="str">
        <f>TEXT(WEEKDAY(DATE(CalendarYear,8,9),1),"aaa")</f>
        <v>di</v>
      </c>
      <c r="L5" s="2" t="str">
        <f>TEXT(WEEKDAY(DATE(CalendarYear,8,10),1),"aaa")</f>
        <v>wo</v>
      </c>
      <c r="M5" s="2" t="str">
        <f>TEXT(WEEKDAY(DATE(CalendarYear,8,11),1),"aaa")</f>
        <v>do</v>
      </c>
      <c r="N5" s="2" t="str">
        <f>TEXT(WEEKDAY(DATE(CalendarYear,8,12),1),"aaa")</f>
        <v>vr</v>
      </c>
      <c r="O5" s="2" t="str">
        <f>TEXT(WEEKDAY(DATE(CalendarYear,8,13),1),"aaa")</f>
        <v>za</v>
      </c>
      <c r="P5" s="2" t="str">
        <f>TEXT(WEEKDAY(DATE(CalendarYear,8,14),1),"aaa")</f>
        <v>zo</v>
      </c>
      <c r="Q5" s="2" t="str">
        <f>TEXT(WEEKDAY(DATE(CalendarYear,8,15),1),"aaa")</f>
        <v>ma</v>
      </c>
      <c r="R5" s="2" t="str">
        <f>TEXT(WEEKDAY(DATE(CalendarYear,8,16),1),"aaa")</f>
        <v>di</v>
      </c>
      <c r="S5" s="2" t="str">
        <f>TEXT(WEEKDAY(DATE(CalendarYear,8,17),1),"aaa")</f>
        <v>wo</v>
      </c>
      <c r="T5" s="2" t="str">
        <f>TEXT(WEEKDAY(DATE(CalendarYear,8,18),1),"aaa")</f>
        <v>do</v>
      </c>
      <c r="U5" s="2" t="str">
        <f>TEXT(WEEKDAY(DATE(CalendarYear,8,19),1),"aaa")</f>
        <v>vr</v>
      </c>
      <c r="V5" s="2" t="str">
        <f>TEXT(WEEKDAY(DATE(CalendarYear,8,20),1),"aaa")</f>
        <v>za</v>
      </c>
      <c r="W5" s="2" t="str">
        <f>TEXT(WEEKDAY(DATE(CalendarYear,8,21),1),"aaa")</f>
        <v>zo</v>
      </c>
      <c r="X5" s="2" t="str">
        <f>TEXT(WEEKDAY(DATE(CalendarYear,8,22),1),"aaa")</f>
        <v>ma</v>
      </c>
      <c r="Y5" s="2" t="str">
        <f>TEXT(WEEKDAY(DATE(CalendarYear,8,23),1),"aaa")</f>
        <v>di</v>
      </c>
      <c r="Z5" s="2" t="str">
        <f>TEXT(WEEKDAY(DATE(CalendarYear,8,24),1),"aaa")</f>
        <v>wo</v>
      </c>
      <c r="AA5" s="2" t="str">
        <f>TEXT(WEEKDAY(DATE(CalendarYear,8,25),1),"aaa")</f>
        <v>do</v>
      </c>
      <c r="AB5" s="2" t="str">
        <f>TEXT(WEEKDAY(DATE(CalendarYear,8,26),1),"aaa")</f>
        <v>vr</v>
      </c>
      <c r="AC5" s="2" t="str">
        <f>TEXT(WEEKDAY(DATE(CalendarYear,8,27),1),"aaa")</f>
        <v>za</v>
      </c>
      <c r="AD5" s="2" t="str">
        <f>TEXT(WEEKDAY(DATE(CalendarYear,8,28),1),"aaa")</f>
        <v>zo</v>
      </c>
      <c r="AE5" s="2" t="str">
        <f>TEXT(WEEKDAY(DATE(CalendarYear,8,29),1),"aaa")</f>
        <v>ma</v>
      </c>
      <c r="AF5" s="2" t="str">
        <f>TEXT(WEEKDAY(DATE(CalendarYear,8,30),1),"aaa")</f>
        <v>di</v>
      </c>
      <c r="AG5" s="2" t="str">
        <f>TEXT(WEEKDAY(DATE(CalendarYear,8,31),1),"aaa")</f>
        <v>wo</v>
      </c>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COUNTA(Augustus[[#This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COUNTA(Augustus[[#This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COUNTA(Augustus[[#This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COUNTA(Augustus[[#This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COUNTA(Augustus[[#This Row],[1]:[31]])</f>
        <v>0</v>
      </c>
    </row>
    <row r="12" spans="2:34" ht="30" customHeight="1" x14ac:dyDescent="0.25">
      <c r="B12" s="17" t="str">
        <f>MonthName&amp;" totaal"</f>
        <v>Augustus totaal</v>
      </c>
      <c r="C12" s="10">
        <f>SUBTOTAL(103,Augustus[1])</f>
        <v>0</v>
      </c>
      <c r="D12" s="10">
        <f>SUBTOTAL(103,Augustus[2])</f>
        <v>0</v>
      </c>
      <c r="E12" s="10">
        <f>SUBTOTAL(103,Augustus[3])</f>
        <v>0</v>
      </c>
      <c r="F12" s="10">
        <f>SUBTOTAL(103,Augustus[4])</f>
        <v>0</v>
      </c>
      <c r="G12" s="10">
        <f>SUBTOTAL(103,Augustus[5])</f>
        <v>0</v>
      </c>
      <c r="H12" s="10">
        <f>SUBTOTAL(103,Augustus[6])</f>
        <v>0</v>
      </c>
      <c r="I12" s="10">
        <f>SUBTOTAL(103,Augustus[7])</f>
        <v>0</v>
      </c>
      <c r="J12" s="10">
        <f>SUBTOTAL(103,Augustus[8])</f>
        <v>0</v>
      </c>
      <c r="K12" s="10">
        <f>SUBTOTAL(103,Augustus[9])</f>
        <v>0</v>
      </c>
      <c r="L12" s="10">
        <f>SUBTOTAL(103,Augustus[10])</f>
        <v>0</v>
      </c>
      <c r="M12" s="10">
        <f>SUBTOTAL(103,Augustus[11])</f>
        <v>0</v>
      </c>
      <c r="N12" s="10">
        <f>SUBTOTAL(103,Augustus[12])</f>
        <v>0</v>
      </c>
      <c r="O12" s="10">
        <f>SUBTOTAL(103,Augustus[13])</f>
        <v>0</v>
      </c>
      <c r="P12" s="10">
        <f>SUBTOTAL(103,Augustus[14])</f>
        <v>0</v>
      </c>
      <c r="Q12" s="10">
        <f>SUBTOTAL(103,Augustus[15])</f>
        <v>0</v>
      </c>
      <c r="R12" s="10">
        <f>SUBTOTAL(103,Augustus[16])</f>
        <v>0</v>
      </c>
      <c r="S12" s="10">
        <f>SUBTOTAL(103,Augustus[17])</f>
        <v>0</v>
      </c>
      <c r="T12" s="10">
        <f>SUBTOTAL(103,Augustus[18])</f>
        <v>0</v>
      </c>
      <c r="U12" s="10">
        <f>SUBTOTAL(103,Augustus[19])</f>
        <v>0</v>
      </c>
      <c r="V12" s="10">
        <f>SUBTOTAL(103,Augustus[20])</f>
        <v>0</v>
      </c>
      <c r="W12" s="10">
        <f>SUBTOTAL(103,Augustus[21])</f>
        <v>0</v>
      </c>
      <c r="X12" s="10">
        <f>SUBTOTAL(103,Augustus[22])</f>
        <v>0</v>
      </c>
      <c r="Y12" s="10">
        <f>SUBTOTAL(103,Augustus[23])</f>
        <v>0</v>
      </c>
      <c r="Z12" s="10">
        <f>SUBTOTAL(103,Augustus[24])</f>
        <v>0</v>
      </c>
      <c r="AA12" s="10">
        <f>SUBTOTAL(103,Augustus[25])</f>
        <v>0</v>
      </c>
      <c r="AB12" s="10">
        <f>SUBTOTAL(103,Augustus[26])</f>
        <v>0</v>
      </c>
      <c r="AC12" s="10">
        <f>SUBTOTAL(103,Augustus[27])</f>
        <v>0</v>
      </c>
      <c r="AD12" s="10">
        <f>SUBTOTAL(103,Augustus[28])</f>
        <v>0</v>
      </c>
      <c r="AE12" s="10">
        <f>SUBTOTAL(103,Augustus[29])</f>
        <v>0</v>
      </c>
      <c r="AF12" s="10">
        <f>SUBTOTAL(109,Augustus[30])</f>
        <v>0</v>
      </c>
      <c r="AG12" s="10">
        <f>SUBTOTAL(109,Augustus[31])</f>
        <v>0</v>
      </c>
      <c r="AH12" s="10">
        <f>SUBTOTAL(109,Augustus[Totaal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402" priority="2" stopIfTrue="1">
      <formula>C7=KeyCustom2</formula>
    </cfRule>
    <cfRule type="expression" dxfId="401" priority="3" stopIfTrue="1">
      <formula>C7=KeyCustom1</formula>
    </cfRule>
    <cfRule type="expression" dxfId="400" priority="4" stopIfTrue="1">
      <formula>C7=KeySick</formula>
    </cfRule>
    <cfRule type="expression" dxfId="399" priority="5" stopIfTrue="1">
      <formula>C7=KeyPersonal</formula>
    </cfRule>
    <cfRule type="expression" dxfId="398"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700-000000000000}"/>
    <dataValidation allowBlank="1" showInputMessage="1" showErrorMessage="1" prompt="Automatisch bijgewerkt jaar op basis van het jaar dat in het werkblad januari is ingevoerd" sqref="AH4" xr:uid="{00000000-0002-0000-0700-000001000000}"/>
    <dataValidation allowBlank="1" showInputMessage="1" showErrorMessage="1" prompt="Berekent automatisch het totaal aantal dagen die een werknemer in deze maand niet aanwezig was in deze kolom" sqref="AH6" xr:uid="{00000000-0002-0000-0700-000002000000}"/>
    <dataValidation allowBlank="1" showInputMessage="1" showErrorMessage="1" prompt="Houd de afwezigheid in augustus in dit werkblad bij" sqref="A1" xr:uid="{00000000-0002-0000-0700-000003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700-000004000000}"/>
    <dataValidation allowBlank="1" showInputMessage="1" showErrorMessage="1" prompt="De automatisch bijgewerkte titel is in deze cel opgenomen. Als u de titel wilt wijzigen, werk dan B1 in het januari-werkblad bij" sqref="B1" xr:uid="{00000000-0002-0000-0700-000005000000}"/>
    <dataValidation allowBlank="1" showInputMessage="1" showErrorMessage="1" prompt="De letter &quot;V&quot; geeft afwezigheid vanwege vakantie aan" sqref="C2" xr:uid="{00000000-0002-0000-0700-000006000000}"/>
    <dataValidation allowBlank="1" showInputMessage="1" showErrorMessage="1" prompt="De letter &quot;P&quot; geeft afwezigheid vanwege persoonlijke redenen aan" sqref="G2" xr:uid="{00000000-0002-0000-0700-000007000000}"/>
    <dataValidation allowBlank="1" showInputMessage="1" showErrorMessage="1" prompt="De letter &quot;Z&quot; geeft afwezigheid vanwege ziekte aan" sqref="K2" xr:uid="{00000000-0002-0000-0700-000008000000}"/>
    <dataValidation allowBlank="1" showInputMessage="1" showErrorMessage="1" prompt="Voer een letter in en pas rechts het label aan om een ander sleutelitem toe te voegen" sqref="N2 R2" xr:uid="{00000000-0002-0000-0700-000009000000}"/>
    <dataValidation allowBlank="1" showInputMessage="1" showErrorMessage="1" prompt="Voer links een label om de aangepaste sleutel te beschrijven in" sqref="O2:Q2 S2:U2" xr:uid="{00000000-0002-0000-0700-00000A000000}"/>
    <dataValidation allowBlank="1" showInputMessage="1" showErrorMessage="1" prompt="Deze rij definieert de sleutels die worden gebruikt in de tabel: cel C2 is vakantie, G2 is persoonlijk en K2 is ziekteverlof. De cellen N2 en R2 kunnen worden aangepast " sqref="B2" xr:uid="{00000000-0002-0000-0700-00000B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700-00000C000000}"/>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7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E000000}">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499984740745262"/>
    <pageSetUpPr fitToPage="1"/>
  </sheetPr>
  <dimension ref="B1:AH12"/>
  <sheetViews>
    <sheetView showGridLines="0" zoomScaleNormal="100" workbookViewId="0"/>
  </sheetViews>
  <sheetFormatPr defaultRowHeight="30" customHeight="1" x14ac:dyDescent="0.25"/>
  <cols>
    <col min="1" max="1" width="2.7109375" customWidth="1"/>
    <col min="2" max="2" width="25.7109375" customWidth="1"/>
    <col min="3" max="33" width="4.7109375" customWidth="1"/>
    <col min="34" max="34" width="20.7109375" customWidth="1"/>
    <col min="35" max="35" width="2.7109375" customWidth="1"/>
  </cols>
  <sheetData>
    <row r="1" spans="2:34" ht="50.1" customHeight="1" x14ac:dyDescent="0.25">
      <c r="B1" s="11" t="str">
        <f>Employee_Absence_Title</f>
        <v>Werknemersafwezigheidsplanning</v>
      </c>
    </row>
    <row r="2" spans="2:34" ht="15" customHeight="1" x14ac:dyDescent="0.25">
      <c r="B2" s="15" t="s">
        <v>1</v>
      </c>
      <c r="C2" s="3" t="s">
        <v>9</v>
      </c>
      <c r="D2" s="20" t="s">
        <v>12</v>
      </c>
      <c r="E2" s="20"/>
      <c r="F2" s="20"/>
      <c r="G2" s="4" t="s">
        <v>15</v>
      </c>
      <c r="H2" s="20" t="s">
        <v>19</v>
      </c>
      <c r="I2" s="20"/>
      <c r="J2" s="20"/>
      <c r="K2" s="5" t="s">
        <v>17</v>
      </c>
      <c r="L2" s="20" t="s">
        <v>24</v>
      </c>
      <c r="M2" s="20"/>
      <c r="N2" s="6"/>
      <c r="O2" s="20" t="s">
        <v>28</v>
      </c>
      <c r="P2" s="20"/>
      <c r="Q2" s="20"/>
      <c r="R2" s="7"/>
      <c r="S2" s="20" t="s">
        <v>33</v>
      </c>
      <c r="T2" s="20"/>
      <c r="U2" s="20"/>
    </row>
    <row r="3" spans="2:34" ht="15" customHeight="1" x14ac:dyDescent="0.25">
      <c r="B3" s="11"/>
    </row>
    <row r="4" spans="2:34" ht="30" customHeight="1" x14ac:dyDescent="0.25">
      <c r="B4" s="9" t="s">
        <v>64</v>
      </c>
      <c r="C4" s="19" t="s">
        <v>10</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
        <f>CalendarYear</f>
        <v>2016</v>
      </c>
    </row>
    <row r="5" spans="2:34" ht="15" customHeight="1" x14ac:dyDescent="0.25">
      <c r="B5" s="9"/>
      <c r="C5" s="2" t="str">
        <f>TEXT(WEEKDAY(DATE(CalendarYear,9,1),1),"aaa")</f>
        <v>do</v>
      </c>
      <c r="D5" s="2" t="str">
        <f>TEXT(WEEKDAY(DATE(CalendarYear,9,2),1),"aaa")</f>
        <v>vr</v>
      </c>
      <c r="E5" s="2" t="str">
        <f>TEXT(WEEKDAY(DATE(CalendarYear,9,3),1),"aaa")</f>
        <v>za</v>
      </c>
      <c r="F5" s="2" t="str">
        <f>TEXT(WEEKDAY(DATE(CalendarYear,9,4),1),"aaa")</f>
        <v>zo</v>
      </c>
      <c r="G5" s="2" t="str">
        <f>TEXT(WEEKDAY(DATE(CalendarYear,9,5),1),"aaa")</f>
        <v>ma</v>
      </c>
      <c r="H5" s="2" t="str">
        <f>TEXT(WEEKDAY(DATE(CalendarYear,9,6),1),"aaa")</f>
        <v>di</v>
      </c>
      <c r="I5" s="2" t="str">
        <f>TEXT(WEEKDAY(DATE(CalendarYear,9,7),1),"aaa")</f>
        <v>wo</v>
      </c>
      <c r="J5" s="2" t="str">
        <f>TEXT(WEEKDAY(DATE(CalendarYear,9,8),1),"aaa")</f>
        <v>do</v>
      </c>
      <c r="K5" s="2" t="str">
        <f>TEXT(WEEKDAY(DATE(CalendarYear,9,9),1),"aaa")</f>
        <v>vr</v>
      </c>
      <c r="L5" s="2" t="str">
        <f>TEXT(WEEKDAY(DATE(CalendarYear,9,10),1),"aaa")</f>
        <v>za</v>
      </c>
      <c r="M5" s="2" t="str">
        <f>TEXT(WEEKDAY(DATE(CalendarYear,9,11),1),"aaa")</f>
        <v>zo</v>
      </c>
      <c r="N5" s="2" t="str">
        <f>TEXT(WEEKDAY(DATE(CalendarYear,9,12),1),"aaa")</f>
        <v>ma</v>
      </c>
      <c r="O5" s="2" t="str">
        <f>TEXT(WEEKDAY(DATE(CalendarYear,9,13),1),"aaa")</f>
        <v>di</v>
      </c>
      <c r="P5" s="2" t="str">
        <f>TEXT(WEEKDAY(DATE(CalendarYear,9,14),1),"aaa")</f>
        <v>wo</v>
      </c>
      <c r="Q5" s="2" t="str">
        <f>TEXT(WEEKDAY(DATE(CalendarYear,9,15),1),"aaa")</f>
        <v>do</v>
      </c>
      <c r="R5" s="2" t="str">
        <f>TEXT(WEEKDAY(DATE(CalendarYear,9,16),1),"aaa")</f>
        <v>vr</v>
      </c>
      <c r="S5" s="2" t="str">
        <f>TEXT(WEEKDAY(DATE(CalendarYear,9,17),1),"aaa")</f>
        <v>za</v>
      </c>
      <c r="T5" s="2" t="str">
        <f>TEXT(WEEKDAY(DATE(CalendarYear,9,18),1),"aaa")</f>
        <v>zo</v>
      </c>
      <c r="U5" s="2" t="str">
        <f>TEXT(WEEKDAY(DATE(CalendarYear,9,19),1),"aaa")</f>
        <v>ma</v>
      </c>
      <c r="V5" s="2" t="str">
        <f>TEXT(WEEKDAY(DATE(CalendarYear,9,20),1),"aaa")</f>
        <v>di</v>
      </c>
      <c r="W5" s="2" t="str">
        <f>TEXT(WEEKDAY(DATE(CalendarYear,9,21),1),"aaa")</f>
        <v>wo</v>
      </c>
      <c r="X5" s="2" t="str">
        <f>TEXT(WEEKDAY(DATE(CalendarYear,9,22),1),"aaa")</f>
        <v>do</v>
      </c>
      <c r="Y5" s="2" t="str">
        <f>TEXT(WEEKDAY(DATE(CalendarYear,9,23),1),"aaa")</f>
        <v>vr</v>
      </c>
      <c r="Z5" s="2" t="str">
        <f>TEXT(WEEKDAY(DATE(CalendarYear,9,24),1),"aaa")</f>
        <v>za</v>
      </c>
      <c r="AA5" s="2" t="str">
        <f>TEXT(WEEKDAY(DATE(CalendarYear,9,25),1),"aaa")</f>
        <v>zo</v>
      </c>
      <c r="AB5" s="2" t="str">
        <f>TEXT(WEEKDAY(DATE(CalendarYear,9,26),1),"aaa")</f>
        <v>ma</v>
      </c>
      <c r="AC5" s="2" t="str">
        <f>TEXT(WEEKDAY(DATE(CalendarYear,9,27),1),"aaa")</f>
        <v>di</v>
      </c>
      <c r="AD5" s="2" t="str">
        <f>TEXT(WEEKDAY(DATE(CalendarYear,9,28),1),"aaa")</f>
        <v>wo</v>
      </c>
      <c r="AE5" s="2" t="str">
        <f>TEXT(WEEKDAY(DATE(CalendarYear,9,29),1),"aaa")</f>
        <v>do</v>
      </c>
      <c r="AF5" s="2" t="str">
        <f>TEXT(WEEKDAY(DATE(CalendarYear,9,30),1),"aaa")</f>
        <v>vr</v>
      </c>
      <c r="AG5" s="2"/>
      <c r="AH5" s="9"/>
    </row>
    <row r="6" spans="2:34" ht="15" customHeight="1" x14ac:dyDescent="0.25">
      <c r="B6" s="12" t="s">
        <v>3</v>
      </c>
      <c r="C6" s="2" t="s">
        <v>11</v>
      </c>
      <c r="D6" s="2" t="s">
        <v>13</v>
      </c>
      <c r="E6" s="2" t="s">
        <v>14</v>
      </c>
      <c r="F6" s="2" t="s">
        <v>16</v>
      </c>
      <c r="G6" s="2" t="s">
        <v>18</v>
      </c>
      <c r="H6" s="2" t="s">
        <v>20</v>
      </c>
      <c r="I6" s="2" t="s">
        <v>21</v>
      </c>
      <c r="J6" s="2" t="s">
        <v>22</v>
      </c>
      <c r="K6" s="2" t="s">
        <v>23</v>
      </c>
      <c r="L6" s="2" t="s">
        <v>25</v>
      </c>
      <c r="M6" s="2" t="s">
        <v>26</v>
      </c>
      <c r="N6" s="2" t="s">
        <v>27</v>
      </c>
      <c r="O6" s="2" t="s">
        <v>29</v>
      </c>
      <c r="P6" s="2" t="s">
        <v>30</v>
      </c>
      <c r="Q6" s="2" t="s">
        <v>31</v>
      </c>
      <c r="R6" s="2" t="s">
        <v>32</v>
      </c>
      <c r="S6" s="2" t="s">
        <v>34</v>
      </c>
      <c r="T6" s="2" t="s">
        <v>35</v>
      </c>
      <c r="U6" s="2" t="s">
        <v>36</v>
      </c>
      <c r="V6" s="2" t="s">
        <v>37</v>
      </c>
      <c r="W6" s="2" t="s">
        <v>38</v>
      </c>
      <c r="X6" s="2" t="s">
        <v>39</v>
      </c>
      <c r="Y6" s="2" t="s">
        <v>40</v>
      </c>
      <c r="Z6" s="2" t="s">
        <v>41</v>
      </c>
      <c r="AA6" s="2" t="s">
        <v>42</v>
      </c>
      <c r="AB6" s="2" t="s">
        <v>43</v>
      </c>
      <c r="AC6" s="2" t="s">
        <v>44</v>
      </c>
      <c r="AD6" s="2" t="s">
        <v>45</v>
      </c>
      <c r="AE6" s="2" t="s">
        <v>46</v>
      </c>
      <c r="AF6" s="2" t="s">
        <v>47</v>
      </c>
      <c r="AG6" s="2" t="s">
        <v>48</v>
      </c>
      <c r="AH6" s="13" t="s">
        <v>50</v>
      </c>
    </row>
    <row r="7" spans="2:34" ht="30" customHeight="1" x14ac:dyDescent="0.25">
      <c r="B7" s="1" t="s">
        <v>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8">
        <f>COUNTA(September[[#This Row],[1]:[31]])</f>
        <v>0</v>
      </c>
    </row>
    <row r="8" spans="2:34" ht="30" customHeight="1" x14ac:dyDescent="0.25">
      <c r="B8" s="1" t="s">
        <v>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8">
        <f>COUNTA(September[[#This Row],[1]:[31]])</f>
        <v>0</v>
      </c>
    </row>
    <row r="9" spans="2:34" ht="30" customHeight="1" x14ac:dyDescent="0.25">
      <c r="B9" s="1" t="s">
        <v>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8">
        <f>COUNTA(September[[#This Row],[1]:[31]])</f>
        <v>0</v>
      </c>
    </row>
    <row r="10" spans="2:34" ht="30" customHeight="1" x14ac:dyDescent="0.25">
      <c r="B10" s="1" t="s">
        <v>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8">
        <f>COUNTA(September[[#This Row],[1]:[31]])</f>
        <v>0</v>
      </c>
    </row>
    <row r="11" spans="2:34" ht="30" customHeight="1" x14ac:dyDescent="0.25">
      <c r="B11" s="1" t="s">
        <v>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8">
        <f>COUNTA(September[[#This Row],[1]:[31]])</f>
        <v>0</v>
      </c>
    </row>
    <row r="12" spans="2:34" ht="30" customHeight="1" x14ac:dyDescent="0.25">
      <c r="B12" s="17" t="str">
        <f>MonthName&amp;" totaal"</f>
        <v>September totaal</v>
      </c>
      <c r="C12" s="10">
        <f>SUBTOTAL(103,September[1])</f>
        <v>0</v>
      </c>
      <c r="D12" s="10">
        <f>SUBTOTAL(103,September[2])</f>
        <v>0</v>
      </c>
      <c r="E12" s="10">
        <f>SUBTOTAL(103,September[3])</f>
        <v>0</v>
      </c>
      <c r="F12" s="10">
        <f>SUBTOTAL(103,September[4])</f>
        <v>0</v>
      </c>
      <c r="G12" s="10">
        <f>SUBTOTAL(103,September[5])</f>
        <v>0</v>
      </c>
      <c r="H12" s="10">
        <f>SUBTOTAL(103,September[6])</f>
        <v>0</v>
      </c>
      <c r="I12" s="10">
        <f>SUBTOTAL(103,September[7])</f>
        <v>0</v>
      </c>
      <c r="J12" s="10">
        <f>SUBTOTAL(103,September[8])</f>
        <v>0</v>
      </c>
      <c r="K12" s="10">
        <f>SUBTOTAL(103,September[9])</f>
        <v>0</v>
      </c>
      <c r="L12" s="10">
        <f>SUBTOTAL(103,September[10])</f>
        <v>0</v>
      </c>
      <c r="M12" s="10">
        <f>SUBTOTAL(103,September[11])</f>
        <v>0</v>
      </c>
      <c r="N12" s="10">
        <f>SUBTOTAL(103,September[12])</f>
        <v>0</v>
      </c>
      <c r="O12" s="10">
        <f>SUBTOTAL(103,September[13])</f>
        <v>0</v>
      </c>
      <c r="P12" s="10">
        <f>SUBTOTAL(103,September[14])</f>
        <v>0</v>
      </c>
      <c r="Q12" s="10">
        <f>SUBTOTAL(103,September[15])</f>
        <v>0</v>
      </c>
      <c r="R12" s="10">
        <f>SUBTOTAL(103,September[16])</f>
        <v>0</v>
      </c>
      <c r="S12" s="10">
        <f>SUBTOTAL(103,September[17])</f>
        <v>0</v>
      </c>
      <c r="T12" s="10">
        <f>SUBTOTAL(103,September[18])</f>
        <v>0</v>
      </c>
      <c r="U12" s="10">
        <f>SUBTOTAL(103,September[19])</f>
        <v>0</v>
      </c>
      <c r="V12" s="10">
        <f>SUBTOTAL(103,September[20])</f>
        <v>0</v>
      </c>
      <c r="W12" s="10">
        <f>SUBTOTAL(103,September[21])</f>
        <v>0</v>
      </c>
      <c r="X12" s="10">
        <f>SUBTOTAL(103,September[22])</f>
        <v>0</v>
      </c>
      <c r="Y12" s="10">
        <f>SUBTOTAL(103,September[23])</f>
        <v>0</v>
      </c>
      <c r="Z12" s="10">
        <f>SUBTOTAL(103,September[24])</f>
        <v>0</v>
      </c>
      <c r="AA12" s="10">
        <f>SUBTOTAL(103,September[25])</f>
        <v>0</v>
      </c>
      <c r="AB12" s="10">
        <f>SUBTOTAL(103,September[26])</f>
        <v>0</v>
      </c>
      <c r="AC12" s="10">
        <f>SUBTOTAL(103,September[27])</f>
        <v>0</v>
      </c>
      <c r="AD12" s="10">
        <f>SUBTOTAL(103,September[28])</f>
        <v>0</v>
      </c>
      <c r="AE12" s="10">
        <f>SUBTOTAL(103,September[29])</f>
        <v>0</v>
      </c>
      <c r="AF12" s="10">
        <f>SUBTOTAL(109,September[30])</f>
        <v>0</v>
      </c>
      <c r="AG12" s="10">
        <f>SUBTOTAL(109,September[31])</f>
        <v>0</v>
      </c>
      <c r="AH12" s="10">
        <f>SUBTOTAL(109,September[Totaal aantal dagen])</f>
        <v>0</v>
      </c>
    </row>
  </sheetData>
  <mergeCells count="6">
    <mergeCell ref="C4:AG4"/>
    <mergeCell ref="D2:F2"/>
    <mergeCell ref="H2:J2"/>
    <mergeCell ref="L2:M2"/>
    <mergeCell ref="O2:Q2"/>
    <mergeCell ref="S2:U2"/>
  </mergeCells>
  <conditionalFormatting sqref="C7:AG11">
    <cfRule type="expression" priority="1" stopIfTrue="1">
      <formula>C7=""</formula>
    </cfRule>
  </conditionalFormatting>
  <conditionalFormatting sqref="C7:AG11">
    <cfRule type="expression" dxfId="328" priority="2" stopIfTrue="1">
      <formula>C7=KeyCustom2</formula>
    </cfRule>
    <cfRule type="expression" dxfId="327" priority="3" stopIfTrue="1">
      <formula>C7=KeyCustom1</formula>
    </cfRule>
    <cfRule type="expression" dxfId="326" priority="4" stopIfTrue="1">
      <formula>C7=KeySick</formula>
    </cfRule>
    <cfRule type="expression" dxfId="325" priority="5" stopIfTrue="1">
      <formula>C7=KeyPersonal</formula>
    </cfRule>
    <cfRule type="expression" dxfId="324" priority="6" stopIfTrue="1">
      <formula>C7=KeyVacation</formula>
    </cfRule>
  </conditionalFormatting>
  <conditionalFormatting sqref="AH7:AH11">
    <cfRule type="dataBar" priority="7">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xr:uid="{00000000-0002-0000-0800-000000000000}"/>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xr:uid="{00000000-0002-0000-0800-000001000000}"/>
    <dataValidation allowBlank="1" showInputMessage="1" showErrorMessage="1" prompt="Deze rij definieert de sleutels die worden gebruikt in de tabel: cel C2 is vakantie, G2 is persoonlijk en K2 is ziekteverlof. De cellen N2 en R2 kunnen worden aangepast " sqref="B2" xr:uid="{00000000-0002-0000-0800-000002000000}"/>
    <dataValidation allowBlank="1" showInputMessage="1" showErrorMessage="1" prompt="Voer links een label om de aangepaste sleutel te beschrijven in" sqref="O2:Q2 S2:U2" xr:uid="{00000000-0002-0000-0800-000003000000}"/>
    <dataValidation allowBlank="1" showInputMessage="1" showErrorMessage="1" prompt="Voer een letter in en pas rechts het label aan om een ander sleutelitem toe te voegen" sqref="N2 R2" xr:uid="{00000000-0002-0000-0800-000004000000}"/>
    <dataValidation allowBlank="1" showInputMessage="1" showErrorMessage="1" prompt="De letter &quot;Z&quot; geeft afwezigheid vanwege ziekte aan" sqref="K2" xr:uid="{00000000-0002-0000-0800-000005000000}"/>
    <dataValidation allowBlank="1" showInputMessage="1" showErrorMessage="1" prompt="De letter &quot;P&quot; geeft afwezigheid vanwege persoonlijke redenen aan" sqref="G2" xr:uid="{00000000-0002-0000-0800-000006000000}"/>
    <dataValidation allowBlank="1" showInputMessage="1" showErrorMessage="1" prompt="De letter &quot;V&quot; geeft afwezigheid vanwege vakantie aan" sqref="C2" xr:uid="{00000000-0002-0000-0800-000007000000}"/>
    <dataValidation allowBlank="1" showInputMessage="1" showErrorMessage="1" prompt="De automatisch bijgewerkte titel is in deze cel opgenomen. Als u de titel wilt wijzigen, werk dan B1 in het januari-werkblad bij" sqref="B1" xr:uid="{00000000-0002-0000-0800-000008000000}"/>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xr:uid="{00000000-0002-0000-0800-000009000000}"/>
    <dataValidation allowBlank="1" showInputMessage="1" showErrorMessage="1" prompt="Houd de afwezigheid in september in dit werkblad bij" sqref="A1" xr:uid="{00000000-0002-0000-0800-00000A000000}"/>
    <dataValidation allowBlank="1" showInputMessage="1" showErrorMessage="1" prompt="Berekent automatisch het totaal aantal dagen die een werknemer in deze maand niet aanwezig was in deze kolom" sqref="AH6" xr:uid="{00000000-0002-0000-0800-00000B000000}"/>
    <dataValidation allowBlank="1" showInputMessage="1" showErrorMessage="1" prompt="Automatisch bijgewerkt jaar op basis van het jaar dat in het werkblad januari is ingevoerd" sqref="AH4" xr:uid="{00000000-0002-0000-0800-00000C000000}"/>
    <dataValidation allowBlank="1" showInputMessage="1" showErrorMessage="1" prompt="Weekdagen in deze rij worden voor de maand automatisch bijgewerkt op basis van het jaar in AH4. Elke dag van de maand is een kolom om de afwezigheid en het type afwezigheid van een werknemer te noteren" sqref="C5" xr:uid="{00000000-0002-0000-0800-00000D000000}"/>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E000000}">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50</vt:i4>
      </vt:variant>
    </vt:vector>
  </HeadingPairs>
  <TitlesOfParts>
    <vt:vector size="63"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vt:lpstr>
      <vt:lpstr>KeyCustom2Label</vt:lpstr>
      <vt:lpstr>KeyPersonal</vt:lpstr>
      <vt:lpstr>KeyPersonalLabel</vt:lpstr>
      <vt:lpstr>KeySick</vt:lpstr>
      <vt:lpstr>KeySickLabel</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Inge Ancaer</dc:creator>
  <cp:lastModifiedBy>Thierry Tack</cp:lastModifiedBy>
  <dcterms:created xsi:type="dcterms:W3CDTF">2016-12-06T04:52:27Z</dcterms:created>
  <dcterms:modified xsi:type="dcterms:W3CDTF">2019-04-05T11:59:37Z</dcterms:modified>
</cp:coreProperties>
</file>