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stbetonnet-my.sharepoint.com/personal/steven_stbeton_net/Documents/Bureaublad/"/>
    </mc:Choice>
  </mc:AlternateContent>
  <xr:revisionPtr revIDLastSave="0" documentId="8_{C36F3786-819A-4579-9F41-D89C74A53A37}" xr6:coauthVersionLast="47" xr6:coauthVersionMax="47" xr10:uidLastSave="{00000000-0000-0000-0000-000000000000}"/>
  <bookViews>
    <workbookView xWindow="-37440" yWindow="2330" windowWidth="37440" windowHeight="10480" xr2:uid="{000C0CBF-2F93-4575-AC34-C8864DC9B8AA}"/>
  </bookViews>
  <sheets>
    <sheet name="1" sheetId="2" r:id="rId1"/>
    <sheet name="Blad1 (2)" sheetId="3" r:id="rId2"/>
    <sheet name="Blad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___________xlnm.Print_Area">#REF!</definedName>
    <definedName name="_____________xlnm.Print_Titles">#REF!</definedName>
    <definedName name="____________xlnm.Print_Area">#REF!</definedName>
    <definedName name="____________xlnm.Print_Titles">#REF!</definedName>
    <definedName name="___________xlnm._FilterDatabase">#REF!</definedName>
    <definedName name="___________xlnm.Print_Area">#REF!</definedName>
    <definedName name="___________xlnm.Print_Area_1">#REF!</definedName>
    <definedName name="___________xlnm.Print_Titles">#REF!</definedName>
    <definedName name="___________xlnm.Print_Titles_1">#REF!</definedName>
    <definedName name="__________xlnm._FilterDatabase">#REF!</definedName>
    <definedName name="__________xlnm.Print_Area">#REF!</definedName>
    <definedName name="__________xlnm.Print_Area_1">#REF!</definedName>
    <definedName name="__________xlnm.Print_Titles">#REF!</definedName>
    <definedName name="__________xlnm.Print_Titles_1">#REF!</definedName>
    <definedName name="_________xlnm._FilterDatabase">#REF!</definedName>
    <definedName name="_________xlnm.Print_Area">#REF!</definedName>
    <definedName name="_________xlnm.Print_Area_1">#REF!</definedName>
    <definedName name="_________xlnm.Print_Titles">#REF!</definedName>
    <definedName name="_________xlnm.Print_Titles_1">#REF!</definedName>
    <definedName name="________xlnm._FilterDatabase">#REF!</definedName>
    <definedName name="________xlnm.Print_Area">#REF!</definedName>
    <definedName name="________xlnm.Print_Area_1">#REF!</definedName>
    <definedName name="________xlnm.Print_Titles">#REF!</definedName>
    <definedName name="________xlnm.Print_Titles_1">#REF!</definedName>
    <definedName name="_______xlnm._FilterDatabase">#REF!</definedName>
    <definedName name="_______xlnm.Print_Area">#REF!</definedName>
    <definedName name="_______xlnm.Print_Area_1">#REF!</definedName>
    <definedName name="_______xlnm.Print_Titles">#REF!</definedName>
    <definedName name="_______xlnm.Print_Titles_1">#REF!</definedName>
    <definedName name="______xlnm._FilterDatabase">#REF!</definedName>
    <definedName name="______xlnm.Print_Area">#REF!</definedName>
    <definedName name="______xlnm.Print_Area_1">#REF!</definedName>
    <definedName name="______xlnm.Print_Area_2">#REF!</definedName>
    <definedName name="______xlnm.Print_Titles">#REF!</definedName>
    <definedName name="______xlnm.Print_Titles_1">#REF!</definedName>
    <definedName name="_____xlnm._FilterDatabase">#REF!</definedName>
    <definedName name="_____xlnm.Print_Area">#REF!</definedName>
    <definedName name="_____xlnm.Print_Area_1">#REF!</definedName>
    <definedName name="_____xlnm.Print_Area_2">#REF!</definedName>
    <definedName name="_____xlnm.Print_Titles">#REF!</definedName>
    <definedName name="_____xlnm.Print_Titles_1">#REF!</definedName>
    <definedName name="____xlnm._FilterDatabase">#REF!</definedName>
    <definedName name="____xlnm.Print_Area">#REF!</definedName>
    <definedName name="____xlnm.Print_Area_1">#REF!</definedName>
    <definedName name="____xlnm.Print_Area_2">#REF!</definedName>
    <definedName name="____xlnm.Print_Titles">#REF!</definedName>
    <definedName name="____xlnm.Print_Titles_1">#REF!</definedName>
    <definedName name="___xlnm._FilterDatabase">#REF!</definedName>
    <definedName name="___xlnm.Print_Area">#REF!</definedName>
    <definedName name="___xlnm.Print_Area_1">#REF!</definedName>
    <definedName name="___xlnm.Print_Area_2">#REF!</definedName>
    <definedName name="___xlnm.Print_Titles">#REF!</definedName>
    <definedName name="___xlnm.Print_Titles_1">#REF!</definedName>
    <definedName name="__123Graph_A" localSheetId="0" hidden="1">#REF!</definedName>
    <definedName name="__123Graph_A" hidden="1">#REF!</definedName>
    <definedName name="__123Graph_B" localSheetId="0" hidden="1">#REF!</definedName>
    <definedName name="__123Graph_B" hidden="1">#REF!</definedName>
    <definedName name="__123Graph_C" localSheetId="0" hidden="1">#REF!</definedName>
    <definedName name="__123Graph_C" hidden="1">#REF!</definedName>
    <definedName name="__123Graph_LBL_A" localSheetId="0" hidden="1">#REF!</definedName>
    <definedName name="__123Graph_LBL_A" hidden="1">#REF!</definedName>
    <definedName name="__123Graph_LBL_C" localSheetId="0" hidden="1">#REF!</definedName>
    <definedName name="__123Graph_LBL_C" hidden="1">#REF!</definedName>
    <definedName name="__123Graph_X" localSheetId="0" hidden="1">#REF!</definedName>
    <definedName name="__123Graph_X" hidden="1">#REF!</definedName>
    <definedName name="__xlnm._FilterDatabase">#REF!</definedName>
    <definedName name="__xlnm.Print_Area">#REF!</definedName>
    <definedName name="__xlnm.Print_Area_1">#REF!</definedName>
    <definedName name="__xlnm.Print_Area_2">#REF!</definedName>
    <definedName name="__xlnm.Print_Titles">#REF!</definedName>
    <definedName name="__xlnm.Print_Titles_1">#REF!</definedName>
    <definedName name="_01_CODE">[1]TABEL!$A$3:$A$27</definedName>
    <definedName name="_02_VERSIE">[1]TABEL!$B$3:$B$27</definedName>
    <definedName name="_03_DATUM">[1]TABEL!$C$3:$C$27</definedName>
    <definedName name="_03_FAMILIE_1_naam">'[2]03_FAMILIE'!$A$4:$A$19</definedName>
    <definedName name="_04_BETON_SOORT">#REF!</definedName>
    <definedName name="_05_RECEPT_in_01_Code">'[2]05_RECEPT'!$A$9:$A$57</definedName>
    <definedName name="_05_RECEPT_in_02_VERSIE">'[2]05_RECEPT'!$B$9:$B$57</definedName>
    <definedName name="_05_RECEPT_in_05_DATUM.gewijzigd">'[2]05_RECEPT'!$E$9:$E$57</definedName>
    <definedName name="_05_RECEPT_in_08_FAMILIE">'[2]05_RECEPT'!$H$9:$H$57</definedName>
    <definedName name="_05_RECEPT_in_09_SPECIFICATIE">'[2]05_RECEPT'!$I$9:$I$57</definedName>
    <definedName name="_05_RECEPT_in_15_Sterkteklasse">'[2]05_RECEPT'!$K$9:$K$57</definedName>
    <definedName name="_05_RECEPT_in_17_Omgevingsklasse">'[2]05_RECEPT'!$M$9:$M$57</definedName>
    <definedName name="_05_RECEPT_in_18_Consistentieklasse">'[2]05_RECEPT'!$N$9:$N$57</definedName>
    <definedName name="_05_RECEPT_in_30_Cement_type">'[2]05_RECEPT'!$T$9:$T$57</definedName>
    <definedName name="_05_RECEPT_in_31_Cement_kg">'[2]05_RECEPT'!$U$9:$U$57</definedName>
    <definedName name="_05_RECEPT_in_50_Toevoegsel_type_I_1_naam">'[2]05_RECEPT'!$AA$9:$AA$57</definedName>
    <definedName name="_05_RECEPT_in_51_Toevoegsel.type.I_1_eenheid">'[2]05_RECEPT'!$AB$9:$AB$57</definedName>
    <definedName name="_05_RECEPT_in_52_Toevoegsel_type_I_1_hoeveel">'[2]05_RECEPT'!$AC$9:$AC$57</definedName>
    <definedName name="_05_RECEPT_in_53_Toevoegsel.type_I_2_naam">'[2]05_RECEPT'!$AD$9:$AD$57</definedName>
    <definedName name="_05_RECEPT_in_54_Toevoegsel.type.I_2_eenheid">'[2]05_RECEPT'!$AE$9:$AE$57</definedName>
    <definedName name="_05_RECEPT_in_55_Toevoegsel.type_I_2_hoeveel">'[2]05_RECEPT'!$AF$9:$AF$57</definedName>
    <definedName name="_05_RECEPT_in_60_Hulpstof_1_centrale">'[2]05_RECEPT'!$AG$9:$AG$57</definedName>
    <definedName name="_05_RECEPT_in_63_Hulpstof.3.centrale_naam">'[2]05_RECEPT'!$AJ$9:$AJ$57</definedName>
    <definedName name="_05_RECEPT_in_66_Hulpstof.4.centrale_naam">'[2]05_RECEPT'!$AM$9:$AM$57</definedName>
    <definedName name="_05_RECEPT_uit_01_CODE">'[2]05_RECEPT'!$BA$9:$BA$57</definedName>
    <definedName name="_05_RECEPT_uit_06_CEMENT1_naam">'[2]05_RECEPT'!$BC$9:$BC$57</definedName>
    <definedName name="_05_RECEPT_uit_07_CEMENT1_kg">'[2]05_RECEPT'!$BD$9:$BD$57</definedName>
    <definedName name="_05_RECEPT_uit_08_CEMENT2_naam">'[2]05_RECEPT'!$BE$9:$BE$57</definedName>
    <definedName name="_05_RECEPT_uit_09_CEMENT2_kg">'[2]05_RECEPT'!$BF$9:$BF$57</definedName>
    <definedName name="_05_RECEPT_uit_10_TOEVOEGSELStypeII_naam">'[2]05_RECEPT'!$BG$9:$BG$57</definedName>
    <definedName name="_05_RECEPT_uit_11_TOEVOEGSELStypeII_kg">'[2]05_RECEPT'!$BH$9:$BH$57</definedName>
    <definedName name="_05_RECEPT_uit_17_ZAND1_naam">'[2]05_RECEPT'!$BN$9:$BN$57</definedName>
    <definedName name="_05_RECEPT_uit_18_ZAND1_kg">'[2]05_RECEPT'!$BO$9:$BO$57</definedName>
    <definedName name="_05_RECEPT_uit_19_ZAND2_naam">'[2]05_RECEPT'!$BP$9:$BP$57</definedName>
    <definedName name="_05_RECEPT_uit_20_ZAND2_kg">'[2]05_RECEPT'!$BQ$9:$BQ$57</definedName>
    <definedName name="_05_RECEPT_uit_21_ZAND3_naam">'[2]05_RECEPT'!$BR$9:$BR$57</definedName>
    <definedName name="_05_RECEPT_uit_22_ZAND3_kg">'[2]05_RECEPT'!$BS$9:$BS$57</definedName>
    <definedName name="_05_RECEPT_uit_23_GRAN1_naam">'[2]05_RECEPT'!$BT$9:$BT$57</definedName>
    <definedName name="_05_RECEPT_uit_24_GRAN1_kg">'[2]05_RECEPT'!$BU$9:$BU$57</definedName>
    <definedName name="_05_RECEPT_uit_25_GRAN2_naam">'[2]05_RECEPT'!$BV$9:$BV$57</definedName>
    <definedName name="_05_RECEPT_uit_26_GRAN2_kg">'[2]05_RECEPT'!$BW$9:$BW$57</definedName>
    <definedName name="_05_RECEPT_uit_27_GRAN3_naam">'[2]05_RECEPT'!$BX$9:$BX$57</definedName>
    <definedName name="_05_RECEPT_uit_28_GRAN3_kg">'[2]05_RECEPT'!$BY$9:$BY$57</definedName>
    <definedName name="_05_RECEPT_uit_31_HULPSTOF1_naam">'[2]05_RECEPT'!$CA$9:$CA$57</definedName>
    <definedName name="_05_RECEPT_uit_32_HULPSTOF1_kg_CENTRALE">'[2]05_RECEPT'!$CB$9:$CB$57</definedName>
    <definedName name="_05_RECEPT_uit_33_HULPSTOF2_naam">'[2]05_RECEPT'!$CC$9:$CC$57</definedName>
    <definedName name="_05_RECEPT_uit_34_HULPSTOF2_kg_WERF">'[2]05_RECEPT'!$CD$9:$CD$57</definedName>
    <definedName name="_05_RECEPT_uit_35_HULPSTOF_3_naam">'[2]05_RECEPT'!$CE$9:$CE$57</definedName>
    <definedName name="_05_RECEPT_uit_36_HULPSTOF_3_kg">'[2]05_RECEPT'!$CF$9:$CF$57</definedName>
    <definedName name="_05_RECEPT_uit_37_HULPSTOF_4_naam">'[2]05_RECEPT'!$CG$9:$CG$57</definedName>
    <definedName name="_05_RECEPT_uit_38_HULPSTOF_4_kg">'[2]05_RECEPT'!$CH$9:$CH$57</definedName>
    <definedName name="_05_RECEPT_uit_48_WATER_total_excl_hulpstof">'[2]05_RECEPT'!$CQ$9:$CQ$57</definedName>
    <definedName name="_05_STERKTEKLASSE">[1]TABEL!$F$3:$F$27</definedName>
    <definedName name="_06_BETONTYPE">[1]TABEL!$H$3:$H$27</definedName>
    <definedName name="_06_PRIJS_in">'[2]21_PROJECT_in'!$F$1:$XFD$167</definedName>
    <definedName name="_07_OMGEVINGSKLASSE">[1]TABEL!$J$3:$J$27</definedName>
    <definedName name="_08_S_KLASSE">[1]TABEL!$L$3:$L$27</definedName>
    <definedName name="_09_KALIBER">[1]TABEL!$N$3:$N$27</definedName>
    <definedName name="_10_STEENSLAG">[1]TABEL!$P$3:$P$27</definedName>
    <definedName name="_11_PLAATSING">#REF!</definedName>
    <definedName name="_12_AFWERKING">#REF!</definedName>
    <definedName name="_13_NAAM">[1]TABEL!$V$3:$V$27</definedName>
    <definedName name="_14_CEM_MIN">[1]TABEL!$W$3:$W$27</definedName>
    <definedName name="_15_W_C_MAX">[1]TABEL!$X$3:$X$27</definedName>
    <definedName name="_16_NOTA_CERTIFICATIE">#REF!</definedName>
    <definedName name="_17_NOTA_WAI">#REF!</definedName>
    <definedName name="_18_LUCHT_L">[1]TABEL!$AA$3:$AA$27</definedName>
    <definedName name="_19_BIJKOMENDE_EISEN">[1]TABEL!$AB$3:$AB$27</definedName>
    <definedName name="_20_DRUKST_TABEL">#REF!</definedName>
    <definedName name="_21_W_m_min">#REF!</definedName>
    <definedName name="_22_factor">#REF!</definedName>
    <definedName name="_23_W_i_min">#REF!</definedName>
    <definedName name="ABS">[3]Sheet1!$A$61:$A$67</definedName>
    <definedName name="Adjuvants">[4]Adjuvant!$B$3:$P$3</definedName>
    <definedName name="Adjuvants_tableau">[4]Adjuvant!$B$3:$P$13</definedName>
    <definedName name="_xlnm.Print_Area" localSheetId="0">'1'!$A$1:$N$60</definedName>
    <definedName name="_xlnm.Print_Area">#REF!</definedName>
    <definedName name="Afdrukbereik_MI" localSheetId="0">#REF!</definedName>
    <definedName name="Afdrukbereik_MI">#REF!</definedName>
    <definedName name="AKTIEN" localSheetId="0">#REF!</definedName>
    <definedName name="AKTIEN">#REF!</definedName>
    <definedName name="AKTIEN_" localSheetId="0">#REF!</definedName>
    <definedName name="AKTIEN_">#REF!</definedName>
    <definedName name="andere">'[5]input andere'!$B$4:$B$53</definedName>
    <definedName name="ann">#REF!</definedName>
    <definedName name="Armé">'[3]Fiche à completer'!$H$49:$H$52</definedName>
    <definedName name="as">#REF!</definedName>
    <definedName name="BA">'[3]Fiche à completer'!$J$49:$J$60</definedName>
    <definedName name="BERT" localSheetId="0">#REF!</definedName>
    <definedName name="BERT">#REF!</definedName>
    <definedName name="BERT_1">"#REF!"</definedName>
    <definedName name="bertje" localSheetId="0">#REF!</definedName>
    <definedName name="bertje">#REF!</definedName>
    <definedName name="bertje_1">"#REF!"</definedName>
    <definedName name="betontype">'[5]input diverse'!$T$2:$T$29</definedName>
    <definedName name="bmbeton" localSheetId="0">#REF!</definedName>
    <definedName name="bmbeton">#REF!</definedName>
    <definedName name="bmbeton_1">"#REF!"</definedName>
    <definedName name="CEM">[4]DOSAGE!$Z$9:$Z$13</definedName>
    <definedName name="cement">'[5]input cement'!$B$4:$B$53</definedName>
    <definedName name="Cementen">[6]Grondstoffenlijst!$C$20:$C$29</definedName>
    <definedName name="Centrale">#REF!</definedName>
    <definedName name="Ciment">[4]Sheet1!$B$2:$B$12</definedName>
    <definedName name="Ciments">[4]Ciments!$C$3:$L$3</definedName>
    <definedName name="Ciments_tableau">[4]Ciments!$C$3:$L$11</definedName>
    <definedName name="Classe">[7]Donnée!#REF!</definedName>
    <definedName name="CODE">'[1]TF TRA50'!$C$2</definedName>
    <definedName name="Composants">[4]Recette!$AB$132:$AC$146</definedName>
    <definedName name="Consistance">[7]Donnée!$C$1:$C$21</definedName>
    <definedName name="consistentie">'[5]input diverse'!$O$2:$O$29</definedName>
    <definedName name="consS3">[5]standaardmatrix!$I$5</definedName>
    <definedName name="consS5">[5]standaardmatrix!$I$4</definedName>
    <definedName name="Cout">'[7]Ciments-Eau'!#REF!</definedName>
    <definedName name="CUBES">[4]BRULAGE!$C$10:$C$12</definedName>
    <definedName name="CV">[4]Recette!$X$36:$X$37</definedName>
    <definedName name="datumnav">#REF!</definedName>
    <definedName name="Dmax">'[5]input diverse'!$Q$2:$Q$29</definedName>
    <definedName name="Dosering">[4]Sheet1!$M$20:$M$21</definedName>
    <definedName name="dsf">#REF!</definedName>
    <definedName name="duurzaamheid">'[5]input diverse'!$G$2:$G$29</definedName>
    <definedName name="Egale">'[3]Fiche à completer'!$F$49:$F$60</definedName>
    <definedName name="EINKNACHST" localSheetId="0">#REF!</definedName>
    <definedName name="EINKNACHST">#REF!</definedName>
    <definedName name="Environ">'[3]Fiche à completer'!$G$49:$G$60</definedName>
    <definedName name="Environnement">[7]Donnée!$B$1:$B$22</definedName>
    <definedName name="EXT">'[3]Fiche à completer'!$K$49:$K$59</definedName>
    <definedName name="Fiche">'[8]Fiche Technique (15)'!$B$3:$N$45</definedName>
    <definedName name="form1">#REF!</definedName>
    <definedName name="form2">#REF!</definedName>
    <definedName name="form3">#REF!</definedName>
    <definedName name="form4">#REF!</definedName>
    <definedName name="Gegevens">[9]data!$A$2:$IE$36</definedName>
    <definedName name="GEGEVENS1">[10]data!$A$2:$EZ$38</definedName>
    <definedName name="geldigtot">[5]standaardmatrix!#REF!</definedName>
    <definedName name="GELDMKT" localSheetId="0">#REF!</definedName>
    <definedName name="GELDMKT">#REF!</definedName>
    <definedName name="GELDMKT_" localSheetId="0">#REF!</definedName>
    <definedName name="GELDMKT_">#REF!</definedName>
    <definedName name="GESGEWINN_" localSheetId="0">#REF!</definedName>
    <definedName name="GESGEWINN_">#REF!</definedName>
    <definedName name="ggg">#REF!</definedName>
    <definedName name="granulaat">'[5]input granulaat'!$B$4:$B$53</definedName>
    <definedName name="granulaten">[4]Sheet1!$O$4:$O$35</definedName>
    <definedName name="Granulats">#REF!</definedName>
    <definedName name="Granulats_tableau">#REF!</definedName>
    <definedName name="Granulo">[11]Granulats!$N$5:$R$21</definedName>
    <definedName name="hulpstof">'[5]input hulpstof'!$B$4:$B$53</definedName>
    <definedName name="Hulpstoffen">[6]Grondstoffenlijst!$C$30:$C$39</definedName>
    <definedName name="jaartal">[5]standaardmatrix!$P$2</definedName>
    <definedName name="k_waarden">[12]K!$A$8:$C$108</definedName>
    <definedName name="kilometerheffing">[5]standaardmatrix!$I$8</definedName>
    <definedName name="klaar">#REF!</definedName>
    <definedName name="kmmheffing">#REF!</definedName>
    <definedName name="Kolommen">[9]data!$A$2:$IE$2</definedName>
    <definedName name="korting_pomp">[5]standaardmatrix!$I$6</definedName>
    <definedName name="korting_pompM">[5]standaardmatrix!$I$7</definedName>
    <definedName name="korting20mm">[5]standaardmatrix!$I$1</definedName>
    <definedName name="Labo">[4]Recette!$Z$35:$Z$37</definedName>
    <definedName name="Leveringszone">[5]standaardmatrix!$C$6</definedName>
    <definedName name="mh">[4]DOSAGE!$Z$19:$Z$20</definedName>
    <definedName name="milieuklasse">'[5]input diverse'!$L$2:$L$29</definedName>
    <definedName name="OBLIG" localSheetId="0">#REF!</definedName>
    <definedName name="OBLIG">#REF!</definedName>
    <definedName name="OBLIG_" localSheetId="0">#REF!</definedName>
    <definedName name="OBLIG_">#REF!</definedName>
    <definedName name="omgevingsklasse">'[5]input diverse'!$I$2:$I$29</definedName>
    <definedName name="OUI">[4]DOSAGE!$Z$16:$Z$17</definedName>
    <definedName name="OUI_NON">[4]Adjuvant!$R$1:$R$2</definedName>
    <definedName name="Prijzen_per_m³__op_basis_vloeibaarheid_S4_uit_de_mixer_bij_aankomst_werf__franco_geleverd_met_volle_vrachten___7.5_m³._Basiscement_volgens_beschikbaarheid_CEM_III_of_CEM_I_met_toevoegsel_type_II">[5]standaardmatrix!$A$37</definedName>
    <definedName name="Producten">[9]data!$A$2:$A$36</definedName>
    <definedName name="qsd">#REF!</definedName>
    <definedName name="Résistance">'[3]Fiche à completer'!$E$49:$E$61</definedName>
    <definedName name="S">'[3]Fiche à completer'!$N$49:$N$55</definedName>
    <definedName name="Soort">'[10]1I'!$AZ$5</definedName>
    <definedName name="splast_camion">[4]Sheet1!$K$43:$K$45</definedName>
    <definedName name="splast_centrale">[4]Sheet1!$K$14:$K$17</definedName>
    <definedName name="Squelette">'[4]Squelettes réference'!$C$1:$AS$1</definedName>
    <definedName name="Squelette_tableau">'[4]Squelettes réference'!$C$1:$AS$42</definedName>
    <definedName name="staalname">[4]Sheet1!$J$4:$J$5</definedName>
    <definedName name="sterkteklasse">'[5]input diverse'!$E$2:$E$94</definedName>
    <definedName name="STFROBLIG" localSheetId="0">#REF!</definedName>
    <definedName name="STFROBLIG">#REF!</definedName>
    <definedName name="STFROBLIG_" localSheetId="0">#REF!</definedName>
    <definedName name="STFROBLIG_">#REF!</definedName>
    <definedName name="supplement6mm">[5]standaardmatrix!$I$3</definedName>
    <definedName name="supplementparel14mm">[5]standaardmatrix!$I$2</definedName>
    <definedName name="Temps">[4]DOSAGE!$Z$14:$Z$15</definedName>
    <definedName name="Versus">[4]Recette!$X$41:$X$45</definedName>
    <definedName name="vulstof">'[5]input vulstof'!$B$4:$B$53</definedName>
    <definedName name="WAI">[3]Sheet1!$A$55:$A$59</definedName>
    <definedName name="water">[6]Grondstoffenlijst!$C$40:$C$43</definedName>
    <definedName name="watercementfactor">'[5]input diverse'!$V$2:$V$29</definedName>
    <definedName name="Werf">[5]standaardmatrix!#REF!</definedName>
    <definedName name="zanden">[4]Sheet1!$L$4:$L$11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F3" i="3"/>
  <c r="E3" i="3"/>
  <c r="C3" i="3"/>
  <c r="B3" i="3"/>
  <c r="P161" i="2"/>
  <c r="L161" i="2"/>
  <c r="M161" i="2" s="1"/>
  <c r="J161" i="2"/>
  <c r="K161" i="2" s="1"/>
  <c r="H161" i="2"/>
  <c r="I161" i="2" s="1"/>
  <c r="E161" i="2"/>
  <c r="G161" i="2" s="1"/>
  <c r="D161" i="2"/>
  <c r="B161" i="2"/>
  <c r="P160" i="2"/>
  <c r="L160" i="2"/>
  <c r="M160" i="2" s="1"/>
  <c r="K160" i="2"/>
  <c r="J160" i="2"/>
  <c r="I160" i="2"/>
  <c r="H160" i="2"/>
  <c r="E160" i="2"/>
  <c r="G160" i="2" s="1"/>
  <c r="O160" i="2" s="1"/>
  <c r="D160" i="2"/>
  <c r="B160" i="2"/>
  <c r="P159" i="2"/>
  <c r="L159" i="2"/>
  <c r="M159" i="2" s="1"/>
  <c r="J159" i="2"/>
  <c r="K159" i="2" s="1"/>
  <c r="I159" i="2"/>
  <c r="H159" i="2"/>
  <c r="E159" i="2"/>
  <c r="G159" i="2" s="1"/>
  <c r="D159" i="2"/>
  <c r="C159" i="2"/>
  <c r="B159" i="2"/>
  <c r="P158" i="2"/>
  <c r="L158" i="2"/>
  <c r="M158" i="2" s="1"/>
  <c r="J158" i="2"/>
  <c r="K158" i="2" s="1"/>
  <c r="I158" i="2"/>
  <c r="H158" i="2"/>
  <c r="E158" i="2"/>
  <c r="G158" i="2" s="1"/>
  <c r="D158" i="2"/>
  <c r="C158" i="2"/>
  <c r="B158" i="2"/>
  <c r="P157" i="2"/>
  <c r="L157" i="2"/>
  <c r="M157" i="2" s="1"/>
  <c r="J157" i="2"/>
  <c r="K157" i="2" s="1"/>
  <c r="I157" i="2"/>
  <c r="H157" i="2"/>
  <c r="E157" i="2"/>
  <c r="G157" i="2" s="1"/>
  <c r="D157" i="2"/>
  <c r="C157" i="2"/>
  <c r="B157" i="2"/>
  <c r="P156" i="2"/>
  <c r="L156" i="2"/>
  <c r="M156" i="2" s="1"/>
  <c r="J156" i="2"/>
  <c r="K156" i="2" s="1"/>
  <c r="H156" i="2"/>
  <c r="I156" i="2" s="1"/>
  <c r="E156" i="2"/>
  <c r="G156" i="2" s="1"/>
  <c r="D156" i="2"/>
  <c r="B156" i="2"/>
  <c r="C156" i="2" s="1"/>
  <c r="P155" i="2"/>
  <c r="L155" i="2"/>
  <c r="M155" i="2" s="1"/>
  <c r="K155" i="2"/>
  <c r="J155" i="2"/>
  <c r="H155" i="2"/>
  <c r="I155" i="2" s="1"/>
  <c r="E155" i="2"/>
  <c r="G155" i="2" s="1"/>
  <c r="B155" i="2"/>
  <c r="D155" i="2" s="1"/>
  <c r="P154" i="2"/>
  <c r="L154" i="2"/>
  <c r="M154" i="2" s="1"/>
  <c r="K154" i="2"/>
  <c r="J154" i="2"/>
  <c r="H154" i="2"/>
  <c r="I154" i="2" s="1"/>
  <c r="G154" i="2"/>
  <c r="E154" i="2"/>
  <c r="D154" i="2"/>
  <c r="B154" i="2"/>
  <c r="P153" i="2"/>
  <c r="M153" i="2"/>
  <c r="L153" i="2"/>
  <c r="J153" i="2"/>
  <c r="K153" i="2" s="1"/>
  <c r="I153" i="2"/>
  <c r="H153" i="2"/>
  <c r="E153" i="2"/>
  <c r="G153" i="2" s="1"/>
  <c r="D153" i="2"/>
  <c r="B153" i="2"/>
  <c r="P152" i="2"/>
  <c r="M152" i="2"/>
  <c r="L152" i="2"/>
  <c r="K152" i="2"/>
  <c r="J152" i="2"/>
  <c r="I152" i="2"/>
  <c r="H152" i="2"/>
  <c r="E152" i="2"/>
  <c r="G152" i="2" s="1"/>
  <c r="D152" i="2"/>
  <c r="B152" i="2"/>
  <c r="P151" i="2"/>
  <c r="L151" i="2"/>
  <c r="M151" i="2" s="1"/>
  <c r="J151" i="2"/>
  <c r="K151" i="2" s="1"/>
  <c r="H151" i="2"/>
  <c r="I151" i="2" s="1"/>
  <c r="G151" i="2"/>
  <c r="E151" i="2"/>
  <c r="B151" i="2"/>
  <c r="D151" i="2" s="1"/>
  <c r="O151" i="2" s="1"/>
  <c r="P150" i="2"/>
  <c r="L150" i="2"/>
  <c r="M150" i="2" s="1"/>
  <c r="K150" i="2"/>
  <c r="J150" i="2"/>
  <c r="I150" i="2"/>
  <c r="H150" i="2"/>
  <c r="G150" i="2"/>
  <c r="E150" i="2"/>
  <c r="D150" i="2"/>
  <c r="B150" i="2"/>
  <c r="P149" i="2"/>
  <c r="M149" i="2"/>
  <c r="L149" i="2"/>
  <c r="J149" i="2"/>
  <c r="K149" i="2" s="1"/>
  <c r="I149" i="2"/>
  <c r="H149" i="2"/>
  <c r="E149" i="2"/>
  <c r="G149" i="2" s="1"/>
  <c r="B149" i="2"/>
  <c r="D149" i="2" s="1"/>
  <c r="P148" i="2"/>
  <c r="M148" i="2"/>
  <c r="L148" i="2"/>
  <c r="J148" i="2"/>
  <c r="K148" i="2" s="1"/>
  <c r="I148" i="2"/>
  <c r="H148" i="2"/>
  <c r="E148" i="2"/>
  <c r="G148" i="2" s="1"/>
  <c r="D148" i="2"/>
  <c r="B148" i="2"/>
  <c r="P147" i="2"/>
  <c r="L147" i="2"/>
  <c r="M147" i="2" s="1"/>
  <c r="K147" i="2"/>
  <c r="J147" i="2"/>
  <c r="H147" i="2"/>
  <c r="I147" i="2" s="1"/>
  <c r="G147" i="2"/>
  <c r="E147" i="2"/>
  <c r="B147" i="2"/>
  <c r="D147" i="2" s="1"/>
  <c r="P146" i="2"/>
  <c r="M146" i="2"/>
  <c r="L146" i="2"/>
  <c r="K146" i="2"/>
  <c r="J146" i="2"/>
  <c r="I146" i="2"/>
  <c r="H146" i="2"/>
  <c r="G146" i="2"/>
  <c r="E146" i="2"/>
  <c r="B146" i="2"/>
  <c r="D146" i="2" s="1"/>
  <c r="P145" i="2"/>
  <c r="M145" i="2"/>
  <c r="L145" i="2"/>
  <c r="J145" i="2"/>
  <c r="K145" i="2" s="1"/>
  <c r="H145" i="2"/>
  <c r="I145" i="2" s="1"/>
  <c r="E145" i="2"/>
  <c r="G145" i="2" s="1"/>
  <c r="D145" i="2"/>
  <c r="B145" i="2"/>
  <c r="N142" i="2"/>
  <c r="E143" i="2" s="1"/>
  <c r="B139" i="2"/>
  <c r="W132" i="2"/>
  <c r="M59" i="2" s="1"/>
  <c r="U132" i="2"/>
  <c r="Y132" i="2" s="1"/>
  <c r="O132" i="2"/>
  <c r="M132" i="2"/>
  <c r="L132" i="2"/>
  <c r="K132" i="2"/>
  <c r="J132" i="2"/>
  <c r="I132" i="2"/>
  <c r="H132" i="2"/>
  <c r="G132" i="2"/>
  <c r="E132" i="2"/>
  <c r="B132" i="2"/>
  <c r="D132" i="2" s="1"/>
  <c r="U131" i="2"/>
  <c r="Y131" i="2" s="1"/>
  <c r="O131" i="2"/>
  <c r="L58" i="2" s="1"/>
  <c r="L131" i="2"/>
  <c r="M131" i="2" s="1"/>
  <c r="J131" i="2"/>
  <c r="K131" i="2" s="1"/>
  <c r="H131" i="2"/>
  <c r="I131" i="2" s="1"/>
  <c r="G131" i="2"/>
  <c r="E131" i="2"/>
  <c r="B131" i="2"/>
  <c r="D131" i="2" s="1"/>
  <c r="U130" i="2"/>
  <c r="X130" i="2" s="1"/>
  <c r="N57" i="2" s="1"/>
  <c r="O130" i="2"/>
  <c r="L57" i="2" s="1"/>
  <c r="L130" i="2"/>
  <c r="M130" i="2" s="1"/>
  <c r="J130" i="2"/>
  <c r="K130" i="2" s="1"/>
  <c r="H130" i="2"/>
  <c r="I130" i="2" s="1"/>
  <c r="G130" i="2"/>
  <c r="E130" i="2"/>
  <c r="B130" i="2"/>
  <c r="D130" i="2" s="1"/>
  <c r="W129" i="2"/>
  <c r="M56" i="2" s="1"/>
  <c r="U129" i="2"/>
  <c r="O129" i="2"/>
  <c r="L129" i="2"/>
  <c r="M129" i="2" s="1"/>
  <c r="J129" i="2"/>
  <c r="K129" i="2" s="1"/>
  <c r="I129" i="2"/>
  <c r="H129" i="2"/>
  <c r="E129" i="2"/>
  <c r="G129" i="2" s="1"/>
  <c r="B129" i="2"/>
  <c r="D129" i="2" s="1"/>
  <c r="X128" i="2"/>
  <c r="N55" i="2" s="1"/>
  <c r="U128" i="2"/>
  <c r="W128" i="2" s="1"/>
  <c r="M55" i="2" s="1"/>
  <c r="O128" i="2"/>
  <c r="L55" i="2" s="1"/>
  <c r="L128" i="2"/>
  <c r="M128" i="2" s="1"/>
  <c r="J128" i="2"/>
  <c r="K128" i="2" s="1"/>
  <c r="H128" i="2"/>
  <c r="I128" i="2" s="1"/>
  <c r="G128" i="2"/>
  <c r="E128" i="2"/>
  <c r="B128" i="2"/>
  <c r="D128" i="2" s="1"/>
  <c r="X127" i="2"/>
  <c r="N54" i="2" s="1"/>
  <c r="U127" i="2"/>
  <c r="O127" i="2"/>
  <c r="L127" i="2"/>
  <c r="M127" i="2" s="1"/>
  <c r="J127" i="2"/>
  <c r="K127" i="2" s="1"/>
  <c r="I127" i="2"/>
  <c r="H127" i="2"/>
  <c r="E127" i="2"/>
  <c r="G127" i="2" s="1"/>
  <c r="D127" i="2"/>
  <c r="B127" i="2"/>
  <c r="U126" i="2"/>
  <c r="Y126" i="2" s="1"/>
  <c r="O126" i="2"/>
  <c r="M126" i="2"/>
  <c r="L126" i="2"/>
  <c r="J126" i="2"/>
  <c r="K126" i="2" s="1"/>
  <c r="I126" i="2"/>
  <c r="H126" i="2"/>
  <c r="E126" i="2"/>
  <c r="G126" i="2" s="1"/>
  <c r="D126" i="2"/>
  <c r="B126" i="2"/>
  <c r="W125" i="2"/>
  <c r="U125" i="2"/>
  <c r="X125" i="2" s="1"/>
  <c r="N52" i="2" s="1"/>
  <c r="O125" i="2"/>
  <c r="Y125" i="2" s="1"/>
  <c r="L125" i="2"/>
  <c r="M125" i="2" s="1"/>
  <c r="J125" i="2"/>
  <c r="K125" i="2" s="1"/>
  <c r="I125" i="2"/>
  <c r="H125" i="2"/>
  <c r="E125" i="2"/>
  <c r="G125" i="2" s="1"/>
  <c r="D125" i="2"/>
  <c r="B125" i="2"/>
  <c r="X124" i="2"/>
  <c r="N51" i="2" s="1"/>
  <c r="U124" i="2"/>
  <c r="Y124" i="2" s="1"/>
  <c r="O124" i="2"/>
  <c r="M124" i="2"/>
  <c r="L124" i="2"/>
  <c r="K124" i="2"/>
  <c r="J124" i="2"/>
  <c r="H124" i="2"/>
  <c r="I124" i="2" s="1"/>
  <c r="G124" i="2"/>
  <c r="E124" i="2"/>
  <c r="B124" i="2"/>
  <c r="D124" i="2" s="1"/>
  <c r="Y123" i="2"/>
  <c r="X123" i="2"/>
  <c r="W123" i="2"/>
  <c r="U123" i="2"/>
  <c r="O123" i="2"/>
  <c r="L50" i="2" s="1"/>
  <c r="M123" i="2"/>
  <c r="L123" i="2"/>
  <c r="K123" i="2"/>
  <c r="J123" i="2"/>
  <c r="H123" i="2"/>
  <c r="I123" i="2" s="1"/>
  <c r="G123" i="2"/>
  <c r="E123" i="2"/>
  <c r="B123" i="2"/>
  <c r="D123" i="2" s="1"/>
  <c r="W122" i="2"/>
  <c r="U122" i="2"/>
  <c r="X122" i="2" s="1"/>
  <c r="N49" i="2" s="1"/>
  <c r="O122" i="2"/>
  <c r="L49" i="2" s="1"/>
  <c r="L122" i="2"/>
  <c r="M122" i="2" s="1"/>
  <c r="J122" i="2"/>
  <c r="K122" i="2" s="1"/>
  <c r="H122" i="2"/>
  <c r="I122" i="2" s="1"/>
  <c r="G122" i="2"/>
  <c r="E122" i="2"/>
  <c r="B122" i="2"/>
  <c r="D122" i="2" s="1"/>
  <c r="X121" i="2"/>
  <c r="N48" i="2" s="1"/>
  <c r="U121" i="2"/>
  <c r="W121" i="2" s="1"/>
  <c r="M48" i="2" s="1"/>
  <c r="O121" i="2"/>
  <c r="Y121" i="2" s="1"/>
  <c r="M121" i="2"/>
  <c r="L121" i="2"/>
  <c r="K121" i="2"/>
  <c r="J121" i="2"/>
  <c r="I121" i="2"/>
  <c r="H121" i="2"/>
  <c r="E121" i="2"/>
  <c r="G121" i="2" s="1"/>
  <c r="D121" i="2"/>
  <c r="B121" i="2"/>
  <c r="Y120" i="2"/>
  <c r="X120" i="2"/>
  <c r="N47" i="2" s="1"/>
  <c r="W120" i="2"/>
  <c r="U120" i="2"/>
  <c r="O120" i="2"/>
  <c r="L120" i="2"/>
  <c r="M120" i="2" s="1"/>
  <c r="J120" i="2"/>
  <c r="K120" i="2" s="1"/>
  <c r="H120" i="2"/>
  <c r="I120" i="2" s="1"/>
  <c r="E120" i="2"/>
  <c r="G120" i="2" s="1"/>
  <c r="D120" i="2"/>
  <c r="B120" i="2"/>
  <c r="W119" i="2"/>
  <c r="M46" i="2" s="1"/>
  <c r="U119" i="2"/>
  <c r="Y119" i="2" s="1"/>
  <c r="O119" i="2"/>
  <c r="M119" i="2"/>
  <c r="L119" i="2"/>
  <c r="K119" i="2"/>
  <c r="J119" i="2"/>
  <c r="I119" i="2"/>
  <c r="H119" i="2"/>
  <c r="G119" i="2"/>
  <c r="E119" i="2"/>
  <c r="B119" i="2"/>
  <c r="D119" i="2" s="1"/>
  <c r="U118" i="2"/>
  <c r="O118" i="2"/>
  <c r="L45" i="2" s="1"/>
  <c r="L118" i="2"/>
  <c r="M118" i="2" s="1"/>
  <c r="J118" i="2"/>
  <c r="K118" i="2" s="1"/>
  <c r="H118" i="2"/>
  <c r="I118" i="2" s="1"/>
  <c r="E118" i="2"/>
  <c r="G118" i="2" s="1"/>
  <c r="B118" i="2"/>
  <c r="D118" i="2" s="1"/>
  <c r="U117" i="2"/>
  <c r="X117" i="2" s="1"/>
  <c r="N44" i="2" s="1"/>
  <c r="O117" i="2"/>
  <c r="L44" i="2" s="1"/>
  <c r="M117" i="2"/>
  <c r="L117" i="2"/>
  <c r="K117" i="2"/>
  <c r="J117" i="2"/>
  <c r="I117" i="2"/>
  <c r="H117" i="2"/>
  <c r="G117" i="2"/>
  <c r="E117" i="2"/>
  <c r="D117" i="2"/>
  <c r="B117" i="2"/>
  <c r="Y116" i="2"/>
  <c r="X116" i="2"/>
  <c r="N43" i="2" s="1"/>
  <c r="W116" i="2"/>
  <c r="U116" i="2"/>
  <c r="O116" i="2"/>
  <c r="M116" i="2"/>
  <c r="L116" i="2"/>
  <c r="J116" i="2"/>
  <c r="K116" i="2" s="1"/>
  <c r="H116" i="2"/>
  <c r="I116" i="2" s="1"/>
  <c r="E116" i="2"/>
  <c r="G116" i="2" s="1"/>
  <c r="B116" i="2"/>
  <c r="D116" i="2" s="1"/>
  <c r="N113" i="2"/>
  <c r="M60" i="2"/>
  <c r="N60" i="2" s="1"/>
  <c r="L59" i="2"/>
  <c r="K59" i="2"/>
  <c r="K58" i="2"/>
  <c r="K57" i="2"/>
  <c r="L56" i="2"/>
  <c r="K56" i="2"/>
  <c r="K55" i="2"/>
  <c r="L54" i="2"/>
  <c r="K54" i="2"/>
  <c r="L53" i="2"/>
  <c r="K53" i="2"/>
  <c r="M52" i="2"/>
  <c r="K52" i="2"/>
  <c r="A52" i="2"/>
  <c r="L51" i="2"/>
  <c r="K51" i="2"/>
  <c r="B51" i="2"/>
  <c r="A51" i="2"/>
  <c r="N50" i="2"/>
  <c r="M50" i="2"/>
  <c r="K50" i="2"/>
  <c r="A50" i="2"/>
  <c r="B50" i="2" s="1"/>
  <c r="AW20" i="2" s="1"/>
  <c r="M49" i="2"/>
  <c r="K49" i="2"/>
  <c r="B49" i="2"/>
  <c r="AW19" i="2" s="1"/>
  <c r="A49" i="2"/>
  <c r="L48" i="2"/>
  <c r="K48" i="2"/>
  <c r="B48" i="2"/>
  <c r="AW18" i="2" s="1"/>
  <c r="BG18" i="2" s="1"/>
  <c r="A48" i="2"/>
  <c r="M47" i="2"/>
  <c r="L47" i="2"/>
  <c r="K47" i="2"/>
  <c r="J47" i="2"/>
  <c r="I47" i="2"/>
  <c r="H47" i="2"/>
  <c r="G47" i="2"/>
  <c r="F47" i="2"/>
  <c r="E49" i="2" s="1"/>
  <c r="A47" i="2"/>
  <c r="L46" i="2"/>
  <c r="K46" i="2"/>
  <c r="A46" i="2"/>
  <c r="K45" i="2"/>
  <c r="B45" i="2"/>
  <c r="AW15" i="2" s="1"/>
  <c r="A45" i="2"/>
  <c r="K44" i="2"/>
  <c r="A44" i="2"/>
  <c r="M43" i="2"/>
  <c r="L43" i="2"/>
  <c r="K43" i="2"/>
  <c r="A43" i="2"/>
  <c r="K42" i="2"/>
  <c r="E42" i="2"/>
  <c r="F42" i="2" s="1"/>
  <c r="B42" i="2"/>
  <c r="A42" i="2"/>
  <c r="K41" i="2"/>
  <c r="A41" i="2"/>
  <c r="B41" i="2" s="1"/>
  <c r="AW11" i="2" s="1"/>
  <c r="BG11" i="2" s="1"/>
  <c r="K40" i="2"/>
  <c r="B40" i="2"/>
  <c r="AW10" i="2" s="1"/>
  <c r="A40" i="2"/>
  <c r="K39" i="2"/>
  <c r="B39" i="2"/>
  <c r="A39" i="2"/>
  <c r="K38" i="2"/>
  <c r="B38" i="2"/>
  <c r="A38" i="2"/>
  <c r="A37" i="2"/>
  <c r="B37" i="2" s="1"/>
  <c r="AW5" i="2" s="1"/>
  <c r="CO33" i="2"/>
  <c r="CN33" i="2"/>
  <c r="CL33" i="2"/>
  <c r="CM33" i="2" s="1"/>
  <c r="CJ33" i="2"/>
  <c r="CK33" i="2" s="1"/>
  <c r="CF33" i="2"/>
  <c r="CG33" i="2" s="1"/>
  <c r="CE33" i="2"/>
  <c r="CD33" i="2"/>
  <c r="CC33" i="2"/>
  <c r="CB33" i="2"/>
  <c r="BY33" i="2"/>
  <c r="BX33" i="2"/>
  <c r="BV33" i="2"/>
  <c r="BW33" i="2" s="1"/>
  <c r="BT33" i="2"/>
  <c r="BU33" i="2" s="1"/>
  <c r="BP33" i="2"/>
  <c r="BQ33" i="2" s="1"/>
  <c r="BO33" i="2"/>
  <c r="BN33" i="2"/>
  <c r="BM33" i="2"/>
  <c r="BL33" i="2"/>
  <c r="BI33" i="2"/>
  <c r="BH33" i="2"/>
  <c r="BF33" i="2"/>
  <c r="BG33" i="2" s="1"/>
  <c r="BD33" i="2"/>
  <c r="BE33" i="2" s="1"/>
  <c r="AZ33" i="2"/>
  <c r="BA33" i="2" s="1"/>
  <c r="AY33" i="2"/>
  <c r="AX33" i="2"/>
  <c r="AW33" i="2"/>
  <c r="AV33" i="2"/>
  <c r="AT33" i="2"/>
  <c r="BZ33" i="2" s="1"/>
  <c r="CA33" i="2" s="1"/>
  <c r="I33" i="2"/>
  <c r="AT32" i="2"/>
  <c r="CJ32" i="2" s="1"/>
  <c r="CK32" i="2" s="1"/>
  <c r="B32" i="2"/>
  <c r="CO31" i="2"/>
  <c r="CN31" i="2"/>
  <c r="CK31" i="2"/>
  <c r="CJ31" i="2"/>
  <c r="CH31" i="2"/>
  <c r="CI31" i="2" s="1"/>
  <c r="CF31" i="2"/>
  <c r="CG31" i="2" s="1"/>
  <c r="CB31" i="2"/>
  <c r="CC31" i="2" s="1"/>
  <c r="BY31" i="2"/>
  <c r="BX31" i="2"/>
  <c r="BU31" i="2"/>
  <c r="BT31" i="2"/>
  <c r="BR31" i="2"/>
  <c r="BS31" i="2" s="1"/>
  <c r="BP31" i="2"/>
  <c r="BQ31" i="2" s="1"/>
  <c r="BL31" i="2"/>
  <c r="BM31" i="2" s="1"/>
  <c r="BI31" i="2"/>
  <c r="BH31" i="2"/>
  <c r="BE31" i="2"/>
  <c r="BD31" i="2"/>
  <c r="BB31" i="2"/>
  <c r="BC31" i="2" s="1"/>
  <c r="AZ31" i="2"/>
  <c r="BA31" i="2" s="1"/>
  <c r="AW31" i="2"/>
  <c r="AV31" i="2"/>
  <c r="AT31" i="2"/>
  <c r="BZ31" i="2" s="1"/>
  <c r="CA31" i="2" s="1"/>
  <c r="B31" i="2"/>
  <c r="AT30" i="2"/>
  <c r="CJ30" i="2" s="1"/>
  <c r="CK30" i="2" s="1"/>
  <c r="CO29" i="2"/>
  <c r="CN29" i="2"/>
  <c r="CH29" i="2"/>
  <c r="CI29" i="2" s="1"/>
  <c r="CF29" i="2"/>
  <c r="CG29" i="2" s="1"/>
  <c r="CD29" i="2"/>
  <c r="CE29" i="2" s="1"/>
  <c r="BY29" i="2"/>
  <c r="BX29" i="2"/>
  <c r="BR29" i="2"/>
  <c r="BS29" i="2" s="1"/>
  <c r="BP29" i="2"/>
  <c r="BQ29" i="2" s="1"/>
  <c r="BN29" i="2"/>
  <c r="BO29" i="2" s="1"/>
  <c r="BJ29" i="2"/>
  <c r="BK29" i="2" s="1"/>
  <c r="BI29" i="2"/>
  <c r="BH29" i="2"/>
  <c r="BB29" i="2"/>
  <c r="BC29" i="2" s="1"/>
  <c r="AZ29" i="2"/>
  <c r="BA29" i="2" s="1"/>
  <c r="AX29" i="2"/>
  <c r="AY29" i="2" s="1"/>
  <c r="AW29" i="2"/>
  <c r="AT29" i="2"/>
  <c r="CL29" i="2" s="1"/>
  <c r="CM29" i="2" s="1"/>
  <c r="N29" i="2"/>
  <c r="L29" i="2"/>
  <c r="K29" i="2"/>
  <c r="J29" i="2"/>
  <c r="G29" i="2"/>
  <c r="H29" i="2" s="1"/>
  <c r="I29" i="2" s="1"/>
  <c r="F29" i="2"/>
  <c r="C29" i="2"/>
  <c r="B29" i="2"/>
  <c r="CN28" i="2"/>
  <c r="CO28" i="2" s="1"/>
  <c r="CH28" i="2"/>
  <c r="CI28" i="2" s="1"/>
  <c r="CB28" i="2"/>
  <c r="CC28" i="2" s="1"/>
  <c r="AT28" i="2"/>
  <c r="CF28" i="2" s="1"/>
  <c r="CG28" i="2" s="1"/>
  <c r="N28" i="2"/>
  <c r="L28" i="2"/>
  <c r="K28" i="2"/>
  <c r="J28" i="2"/>
  <c r="G28" i="2"/>
  <c r="H28" i="2" s="1"/>
  <c r="I28" i="2" s="1"/>
  <c r="F28" i="2"/>
  <c r="C28" i="2"/>
  <c r="B28" i="2"/>
  <c r="N27" i="2"/>
  <c r="L27" i="2"/>
  <c r="K27" i="2"/>
  <c r="J27" i="2"/>
  <c r="G27" i="2"/>
  <c r="H27" i="2" s="1"/>
  <c r="I27" i="2" s="1"/>
  <c r="F27" i="2"/>
  <c r="C27" i="2"/>
  <c r="B27" i="2"/>
  <c r="CN26" i="2"/>
  <c r="CL26" i="2"/>
  <c r="CJ26" i="2"/>
  <c r="CH26" i="2"/>
  <c r="CF26" i="2"/>
  <c r="CD26" i="2"/>
  <c r="CB26" i="2"/>
  <c r="BZ26" i="2"/>
  <c r="BX26" i="2"/>
  <c r="BV26" i="2"/>
  <c r="BT26" i="2"/>
  <c r="BR26" i="2"/>
  <c r="BP26" i="2"/>
  <c r="BN26" i="2"/>
  <c r="BL26" i="2"/>
  <c r="BJ26" i="2"/>
  <c r="BH26" i="2"/>
  <c r="BF26" i="2"/>
  <c r="BD26" i="2"/>
  <c r="BB26" i="2"/>
  <c r="AZ26" i="2"/>
  <c r="AX26" i="2"/>
  <c r="AT25" i="2"/>
  <c r="Q25" i="2"/>
  <c r="O25" i="2"/>
  <c r="N25" i="2"/>
  <c r="M25" i="2"/>
  <c r="L25" i="2"/>
  <c r="K25" i="2"/>
  <c r="J25" i="2"/>
  <c r="I25" i="2"/>
  <c r="R25" i="2" s="1"/>
  <c r="H25" i="2"/>
  <c r="G25" i="2"/>
  <c r="F25" i="2"/>
  <c r="D25" i="2"/>
  <c r="C25" i="2"/>
  <c r="B25" i="2"/>
  <c r="AT24" i="2"/>
  <c r="Q24" i="2"/>
  <c r="O24" i="2"/>
  <c r="D24" i="2"/>
  <c r="C24" i="2"/>
  <c r="B24" i="2"/>
  <c r="AW23" i="2"/>
  <c r="Q23" i="2"/>
  <c r="O23" i="2"/>
  <c r="D23" i="2"/>
  <c r="C23" i="2"/>
  <c r="B23" i="2"/>
  <c r="BF22" i="2"/>
  <c r="AT22" i="2"/>
  <c r="BD22" i="2" s="1"/>
  <c r="BB21" i="2"/>
  <c r="AW21" i="2"/>
  <c r="BA21" i="2" s="1"/>
  <c r="AT21" i="2"/>
  <c r="AZ21" i="2" s="1"/>
  <c r="Q21" i="2"/>
  <c r="O21" i="2"/>
  <c r="N21" i="2"/>
  <c r="M21" i="2"/>
  <c r="L21" i="2"/>
  <c r="K21" i="2"/>
  <c r="J21" i="2"/>
  <c r="I21" i="2"/>
  <c r="R21" i="2" s="1"/>
  <c r="H21" i="2"/>
  <c r="G21" i="2"/>
  <c r="F21" i="2"/>
  <c r="D21" i="2"/>
  <c r="C21" i="2"/>
  <c r="B21" i="2"/>
  <c r="BB20" i="2"/>
  <c r="AZ20" i="2"/>
  <c r="AX20" i="2"/>
  <c r="AT20" i="2"/>
  <c r="BF20" i="2" s="1"/>
  <c r="Q20" i="2"/>
  <c r="O20" i="2"/>
  <c r="D20" i="2"/>
  <c r="C20" i="2"/>
  <c r="B20" i="2"/>
  <c r="AT19" i="2"/>
  <c r="BD20" i="2" s="1"/>
  <c r="Q19" i="2"/>
  <c r="O19" i="2"/>
  <c r="D19" i="2"/>
  <c r="C19" i="2"/>
  <c r="B19" i="2"/>
  <c r="BB18" i="2"/>
  <c r="AZ18" i="2"/>
  <c r="AX18" i="2"/>
  <c r="AT18" i="2"/>
  <c r="BF18" i="2" s="1"/>
  <c r="AT17" i="2"/>
  <c r="BD17" i="2" s="1"/>
  <c r="O17" i="2"/>
  <c r="L17" i="2"/>
  <c r="K17" i="2"/>
  <c r="J17" i="2"/>
  <c r="G17" i="2"/>
  <c r="H17" i="2" s="1"/>
  <c r="I17" i="2" s="1"/>
  <c r="F17" i="2"/>
  <c r="B17" i="2"/>
  <c r="BD16" i="2"/>
  <c r="BB16" i="2"/>
  <c r="AX16" i="2"/>
  <c r="AT16" i="2"/>
  <c r="BF16" i="2" s="1"/>
  <c r="O16" i="2"/>
  <c r="L16" i="2"/>
  <c r="K16" i="2"/>
  <c r="J16" i="2"/>
  <c r="G16" i="2"/>
  <c r="H16" i="2" s="1"/>
  <c r="I16" i="2" s="1"/>
  <c r="P16" i="2" s="1"/>
  <c r="F16" i="2"/>
  <c r="B16" i="2"/>
  <c r="BF15" i="2"/>
  <c r="AT15" i="2"/>
  <c r="BD15" i="2" s="1"/>
  <c r="O15" i="2"/>
  <c r="L15" i="2"/>
  <c r="K15" i="2"/>
  <c r="J15" i="2"/>
  <c r="G15" i="2"/>
  <c r="H15" i="2" s="1"/>
  <c r="I15" i="2" s="1"/>
  <c r="F15" i="2"/>
  <c r="G30" i="2" s="1"/>
  <c r="B15" i="2"/>
  <c r="BD14" i="2"/>
  <c r="BB14" i="2"/>
  <c r="AX14" i="2"/>
  <c r="AT14" i="2"/>
  <c r="BF14" i="2" s="1"/>
  <c r="AT13" i="2"/>
  <c r="BF13" i="2" s="1"/>
  <c r="W13" i="2"/>
  <c r="V13" i="2"/>
  <c r="R13" i="2"/>
  <c r="P13" i="2"/>
  <c r="O13" i="2"/>
  <c r="L13" i="2"/>
  <c r="K13" i="2"/>
  <c r="J13" i="2"/>
  <c r="G13" i="2"/>
  <c r="H13" i="2" s="1"/>
  <c r="I13" i="2" s="1"/>
  <c r="B13" i="2"/>
  <c r="BF12" i="2"/>
  <c r="BB12" i="2"/>
  <c r="AW12" i="2"/>
  <c r="BC12" i="2" s="1"/>
  <c r="AT12" i="2"/>
  <c r="AZ12" i="2" s="1"/>
  <c r="R12" i="2"/>
  <c r="P12" i="2"/>
  <c r="O12" i="2"/>
  <c r="L12" i="2"/>
  <c r="K12" i="2"/>
  <c r="J12" i="2"/>
  <c r="G12" i="2"/>
  <c r="H12" i="2" s="1"/>
  <c r="I12" i="2" s="1"/>
  <c r="B12" i="2"/>
  <c r="AX11" i="2"/>
  <c r="AT11" i="2"/>
  <c r="BB11" i="2" s="1"/>
  <c r="O11" i="2"/>
  <c r="L11" i="2"/>
  <c r="K11" i="2"/>
  <c r="J11" i="2"/>
  <c r="G11" i="2"/>
  <c r="H11" i="2" s="1"/>
  <c r="I11" i="2" s="1"/>
  <c r="R11" i="2" s="1"/>
  <c r="B11" i="2"/>
  <c r="BF10" i="2"/>
  <c r="BD10" i="2"/>
  <c r="AZ10" i="2"/>
  <c r="AT10" i="2"/>
  <c r="AX10" i="2" s="1"/>
  <c r="AW9" i="2"/>
  <c r="BA9" i="2" s="1"/>
  <c r="AT9" i="2"/>
  <c r="BF9" i="2" s="1"/>
  <c r="BF8" i="2"/>
  <c r="BD8" i="2"/>
  <c r="BB8" i="2"/>
  <c r="AZ8" i="2"/>
  <c r="AX8" i="2"/>
  <c r="AW8" i="2"/>
  <c r="BG8" i="2" s="1"/>
  <c r="AT8" i="2"/>
  <c r="BF7" i="2"/>
  <c r="BD7" i="2"/>
  <c r="BB7" i="2"/>
  <c r="AZ7" i="2"/>
  <c r="AX7" i="2"/>
  <c r="BF6" i="2"/>
  <c r="BD6" i="2"/>
  <c r="BB6" i="2"/>
  <c r="AZ6" i="2"/>
  <c r="AX6" i="2"/>
  <c r="AT5" i="2"/>
  <c r="AX5" i="2" s="1"/>
  <c r="C5" i="2"/>
  <c r="B1" i="2"/>
  <c r="B140" i="2" s="1"/>
  <c r="L3" i="2"/>
  <c r="T2" i="2"/>
  <c r="S2" i="2"/>
  <c r="R2" i="2"/>
  <c r="Q2" i="2"/>
  <c r="P38" i="2" l="1"/>
  <c r="BF32" i="2"/>
  <c r="BG32" i="2" s="1"/>
  <c r="BV32" i="2"/>
  <c r="BW32" i="2" s="1"/>
  <c r="CL32" i="2"/>
  <c r="CM32" i="2" s="1"/>
  <c r="BF17" i="2"/>
  <c r="AX13" i="2"/>
  <c r="BB28" i="2"/>
  <c r="BC28" i="2" s="1"/>
  <c r="AZ13" i="2"/>
  <c r="BB13" i="2"/>
  <c r="BH28" i="2"/>
  <c r="BI28" i="2" s="1"/>
  <c r="BD13" i="2"/>
  <c r="BL28" i="2"/>
  <c r="BM28" i="2" s="1"/>
  <c r="BR28" i="2"/>
  <c r="BS28" i="2" s="1"/>
  <c r="BX28" i="2"/>
  <c r="BY28" i="2" s="1"/>
  <c r="BD5" i="2"/>
  <c r="P21" i="2"/>
  <c r="AZ5" i="2"/>
  <c r="BF5" i="2"/>
  <c r="Y122" i="2"/>
  <c r="Y118" i="2"/>
  <c r="Y128" i="2"/>
  <c r="Y127" i="2"/>
  <c r="Y129" i="2"/>
  <c r="BC19" i="2"/>
  <c r="BG19" i="2"/>
  <c r="BA19" i="2"/>
  <c r="BE19" i="2"/>
  <c r="BC5" i="2"/>
  <c r="BE5" i="2"/>
  <c r="AY5" i="2"/>
  <c r="BA5" i="2"/>
  <c r="BG5" i="2"/>
  <c r="I42" i="2"/>
  <c r="E56" i="2"/>
  <c r="R17" i="2"/>
  <c r="P17" i="2"/>
  <c r="I32" i="2"/>
  <c r="R15" i="2"/>
  <c r="P15" i="2"/>
  <c r="G31" i="2"/>
  <c r="AY12" i="2"/>
  <c r="R16" i="2"/>
  <c r="P11" i="2"/>
  <c r="BA12" i="2"/>
  <c r="BE12" i="2"/>
  <c r="BC21" i="2"/>
  <c r="AY8" i="2"/>
  <c r="BG12" i="2"/>
  <c r="BG21" i="2"/>
  <c r="P25" i="2"/>
  <c r="Q33" i="2"/>
  <c r="T3" i="2" s="1"/>
  <c r="AY19" i="2"/>
  <c r="BC20" i="2"/>
  <c r="BG20" i="2"/>
  <c r="BE20" i="2"/>
  <c r="BA20" i="2"/>
  <c r="AY20" i="2"/>
  <c r="AY10" i="2"/>
  <c r="BG10" i="2"/>
  <c r="BE10" i="2"/>
  <c r="BC10" i="2"/>
  <c r="BA10" i="2"/>
  <c r="Q160" i="2"/>
  <c r="Q151" i="2"/>
  <c r="O146" i="2"/>
  <c r="Q146" i="2" s="1"/>
  <c r="BE15" i="2"/>
  <c r="BC15" i="2"/>
  <c r="AY15" i="2"/>
  <c r="BA15" i="2"/>
  <c r="AU30" i="2"/>
  <c r="BG15" i="2"/>
  <c r="BB5" i="2"/>
  <c r="BD28" i="2"/>
  <c r="BE28" i="2" s="1"/>
  <c r="BT28" i="2"/>
  <c r="BU28" i="2" s="1"/>
  <c r="CJ28" i="2"/>
  <c r="CK28" i="2" s="1"/>
  <c r="BZ29" i="2"/>
  <c r="CA29" i="2" s="1"/>
  <c r="BF30" i="2"/>
  <c r="BG30" i="2" s="1"/>
  <c r="BV30" i="2"/>
  <c r="BW30" i="2" s="1"/>
  <c r="CL30" i="2"/>
  <c r="CM30" i="2" s="1"/>
  <c r="W118" i="2"/>
  <c r="M45" i="2" s="1"/>
  <c r="X119" i="2"/>
  <c r="N46" i="2" s="1"/>
  <c r="X129" i="2"/>
  <c r="N56" i="2" s="1"/>
  <c r="W131" i="2"/>
  <c r="M58" i="2" s="1"/>
  <c r="X132" i="2"/>
  <c r="N59" i="2" s="1"/>
  <c r="O145" i="2"/>
  <c r="Q145" i="2" s="1"/>
  <c r="AX9" i="2"/>
  <c r="BD21" i="2"/>
  <c r="AY9" i="2"/>
  <c r="BB10" i="2"/>
  <c r="BD12" i="2"/>
  <c r="AZ14" i="2"/>
  <c r="AZ16" i="2"/>
  <c r="AX19" i="2"/>
  <c r="BE21" i="2"/>
  <c r="AX31" i="2"/>
  <c r="AY31" i="2" s="1"/>
  <c r="BN31" i="2"/>
  <c r="BO31" i="2" s="1"/>
  <c r="CD31" i="2"/>
  <c r="CE31" i="2" s="1"/>
  <c r="BH32" i="2"/>
  <c r="BI32" i="2" s="1"/>
  <c r="BX32" i="2"/>
  <c r="BY32" i="2" s="1"/>
  <c r="CN32" i="2"/>
  <c r="CO32" i="2" s="1"/>
  <c r="BB33" i="2"/>
  <c r="BC33" i="2" s="1"/>
  <c r="BR33" i="2"/>
  <c r="BS33" i="2" s="1"/>
  <c r="CH33" i="2"/>
  <c r="CI33" i="2" s="1"/>
  <c r="L52" i="2"/>
  <c r="W117" i="2"/>
  <c r="M44" i="2" s="1"/>
  <c r="X118" i="2"/>
  <c r="N45" i="2" s="1"/>
  <c r="W130" i="2"/>
  <c r="M57" i="2" s="1"/>
  <c r="X131" i="2"/>
  <c r="N58" i="2" s="1"/>
  <c r="O150" i="2"/>
  <c r="Q150" i="2" s="1"/>
  <c r="N158" i="2"/>
  <c r="N159" i="2"/>
  <c r="AZ9" i="2"/>
  <c r="BF21" i="2"/>
  <c r="BF28" i="2"/>
  <c r="BG28" i="2" s="1"/>
  <c r="BV28" i="2"/>
  <c r="BW28" i="2" s="1"/>
  <c r="CL28" i="2"/>
  <c r="CM28" i="2" s="1"/>
  <c r="AV29" i="2"/>
  <c r="BL29" i="2"/>
  <c r="BM29" i="2" s="1"/>
  <c r="CB29" i="2"/>
  <c r="CC29" i="2" s="1"/>
  <c r="BH30" i="2"/>
  <c r="BI30" i="2" s="1"/>
  <c r="BX30" i="2"/>
  <c r="BY30" i="2" s="1"/>
  <c r="CN30" i="2"/>
  <c r="CO30" i="2" s="1"/>
  <c r="CO34" i="2" s="1"/>
  <c r="L38" i="2" s="1"/>
  <c r="O155" i="2"/>
  <c r="Q155" i="2" s="1"/>
  <c r="O156" i="2"/>
  <c r="Q156" i="2" s="1"/>
  <c r="O157" i="2"/>
  <c r="Q157" i="2" s="1"/>
  <c r="O158" i="2"/>
  <c r="Q158" i="2" s="1"/>
  <c r="O159" i="2"/>
  <c r="Q159" i="2" s="1"/>
  <c r="Y117" i="2"/>
  <c r="Y130" i="2"/>
  <c r="O149" i="2"/>
  <c r="Q149" i="2" s="1"/>
  <c r="BZ30" i="2"/>
  <c r="CA30" i="2" s="1"/>
  <c r="BC9" i="2"/>
  <c r="AY11" i="2"/>
  <c r="BB19" i="2"/>
  <c r="BL32" i="2"/>
  <c r="BM32" i="2" s="1"/>
  <c r="CB32" i="2"/>
  <c r="CC32" i="2" s="1"/>
  <c r="O154" i="2"/>
  <c r="Q154" i="2" s="1"/>
  <c r="BJ32" i="2"/>
  <c r="BK32" i="2" s="1"/>
  <c r="AZ11" i="2"/>
  <c r="AX22" i="2"/>
  <c r="BJ28" i="2"/>
  <c r="BK28" i="2" s="1"/>
  <c r="BZ28" i="2"/>
  <c r="CA28" i="2" s="1"/>
  <c r="AV30" i="2"/>
  <c r="BL30" i="2"/>
  <c r="BM30" i="2" s="1"/>
  <c r="CB30" i="2"/>
  <c r="CC30" i="2" s="1"/>
  <c r="BB9" i="2"/>
  <c r="BE9" i="2"/>
  <c r="BA11" i="2"/>
  <c r="AX15" i="2"/>
  <c r="AX17" i="2"/>
  <c r="BA18" i="2"/>
  <c r="BD19" i="2"/>
  <c r="AW30" i="2"/>
  <c r="AX32" i="2"/>
  <c r="AY32" i="2" s="1"/>
  <c r="BN32" i="2"/>
  <c r="BO32" i="2" s="1"/>
  <c r="CD32" i="2"/>
  <c r="CE32" i="2" s="1"/>
  <c r="O148" i="2"/>
  <c r="Q148" i="2" s="1"/>
  <c r="AZ19" i="2"/>
  <c r="BJ30" i="2"/>
  <c r="BK30" i="2" s="1"/>
  <c r="BD9" i="2"/>
  <c r="AX30" i="2"/>
  <c r="AY30" i="2" s="1"/>
  <c r="BN30" i="2"/>
  <c r="BO30" i="2" s="1"/>
  <c r="CD30" i="2"/>
  <c r="CE30" i="2" s="1"/>
  <c r="O153" i="2"/>
  <c r="Q153" i="2" s="1"/>
  <c r="AY18" i="2"/>
  <c r="BA8" i="2"/>
  <c r="BG9" i="2"/>
  <c r="BC11" i="2"/>
  <c r="AZ15" i="2"/>
  <c r="AZ17" i="2"/>
  <c r="BC18" i="2"/>
  <c r="BF19" i="2"/>
  <c r="BF31" i="2"/>
  <c r="BG31" i="2" s="1"/>
  <c r="BV31" i="2"/>
  <c r="BW31" i="2" s="1"/>
  <c r="CL31" i="2"/>
  <c r="CM31" i="2" s="1"/>
  <c r="AZ32" i="2"/>
  <c r="BA32" i="2" s="1"/>
  <c r="BP32" i="2"/>
  <c r="BQ32" i="2" s="1"/>
  <c r="CF32" i="2"/>
  <c r="CG32" i="2" s="1"/>
  <c r="BJ33" i="2"/>
  <c r="BK33" i="2" s="1"/>
  <c r="W126" i="2"/>
  <c r="M53" i="2" s="1"/>
  <c r="F156" i="2"/>
  <c r="N156" i="2" s="1"/>
  <c r="F157" i="2"/>
  <c r="N157" i="2" s="1"/>
  <c r="F158" i="2"/>
  <c r="F159" i="2"/>
  <c r="BZ32" i="2"/>
  <c r="CA32" i="2" s="1"/>
  <c r="AZ22" i="2"/>
  <c r="BD11" i="2"/>
  <c r="BD18" i="2"/>
  <c r="AX21" i="2"/>
  <c r="BB22" i="2"/>
  <c r="AX28" i="2"/>
  <c r="AY28" i="2" s="1"/>
  <c r="BN28" i="2"/>
  <c r="BO28" i="2" s="1"/>
  <c r="CD28" i="2"/>
  <c r="CE28" i="2" s="1"/>
  <c r="BD29" i="2"/>
  <c r="BE29" i="2" s="1"/>
  <c r="BT29" i="2"/>
  <c r="BU29" i="2" s="1"/>
  <c r="CJ29" i="2"/>
  <c r="CK29" i="2" s="1"/>
  <c r="AZ30" i="2"/>
  <c r="BA30" i="2" s="1"/>
  <c r="BP30" i="2"/>
  <c r="BQ30" i="2" s="1"/>
  <c r="CF30" i="2"/>
  <c r="CG30" i="2" s="1"/>
  <c r="AU33" i="2"/>
  <c r="Q123" i="2"/>
  <c r="X126" i="2"/>
  <c r="N53" i="2" s="1"/>
  <c r="O147" i="2"/>
  <c r="Q147" i="2" s="1"/>
  <c r="BE8" i="2"/>
  <c r="BE11" i="2"/>
  <c r="AX12" i="2"/>
  <c r="BB15" i="2"/>
  <c r="BB17" i="2"/>
  <c r="BE18" i="2"/>
  <c r="AY21" i="2"/>
  <c r="BB32" i="2"/>
  <c r="BC32" i="2" s="1"/>
  <c r="BR32" i="2"/>
  <c r="BS32" i="2" s="1"/>
  <c r="CH32" i="2"/>
  <c r="CI32" i="2" s="1"/>
  <c r="W124" i="2"/>
  <c r="M51" i="2" s="1"/>
  <c r="W127" i="2"/>
  <c r="M54" i="2" s="1"/>
  <c r="O152" i="2"/>
  <c r="Q152" i="2" s="1"/>
  <c r="BF11" i="2"/>
  <c r="AZ28" i="2"/>
  <c r="BA28" i="2" s="1"/>
  <c r="BP28" i="2"/>
  <c r="BQ28" i="2" s="1"/>
  <c r="BF29" i="2"/>
  <c r="BG29" i="2" s="1"/>
  <c r="BV29" i="2"/>
  <c r="BW29" i="2" s="1"/>
  <c r="BB30" i="2"/>
  <c r="BC30" i="2" s="1"/>
  <c r="BR30" i="2"/>
  <c r="BS30" i="2" s="1"/>
  <c r="CH30" i="2"/>
  <c r="CI30" i="2" s="1"/>
  <c r="O161" i="2"/>
  <c r="Q161" i="2" s="1"/>
  <c r="BC8" i="2"/>
  <c r="BJ31" i="2"/>
  <c r="BK31" i="2" s="1"/>
  <c r="BD32" i="2"/>
  <c r="BE32" i="2" s="1"/>
  <c r="BT32" i="2"/>
  <c r="BU32" i="2" s="1"/>
  <c r="BD30" i="2"/>
  <c r="BE30" i="2" s="1"/>
  <c r="BT30" i="2"/>
  <c r="BU30" i="2" s="1"/>
  <c r="BS34" i="2" l="1"/>
  <c r="CG34" i="2"/>
  <c r="L42" i="2" s="1"/>
  <c r="CC34" i="2"/>
  <c r="AY34" i="2"/>
  <c r="BQ34" i="2"/>
  <c r="BA34" i="2"/>
  <c r="BC34" i="2"/>
  <c r="CA34" i="2"/>
  <c r="BK34" i="2"/>
  <c r="BY34" i="2"/>
  <c r="H31" i="2"/>
  <c r="N30" i="2"/>
  <c r="B54" i="2" s="1"/>
  <c r="BI34" i="2"/>
  <c r="BM34" i="2"/>
  <c r="CI34" i="2"/>
  <c r="L41" i="2" s="1"/>
  <c r="CK34" i="2"/>
  <c r="L40" i="2" s="1"/>
  <c r="CE34" i="2"/>
  <c r="BU34" i="2"/>
  <c r="BO34" i="2"/>
  <c r="BE34" i="2"/>
  <c r="CM34" i="2"/>
  <c r="L39" i="2" s="1"/>
  <c r="BW34" i="2"/>
  <c r="BG34" i="2"/>
  <c r="I31" i="2" l="1"/>
  <c r="K31" i="2" l="1"/>
  <c r="J31" i="2"/>
  <c r="B52" i="2" s="1"/>
  <c r="I18" i="2"/>
  <c r="P111" i="2" s="1"/>
  <c r="H112" i="2" l="1"/>
  <c r="E23" i="2" s="1"/>
  <c r="E112" i="2"/>
  <c r="B112" i="2"/>
  <c r="J112" i="2"/>
  <c r="E24" i="2" s="1"/>
  <c r="L112" i="2"/>
  <c r="Q31" i="2"/>
  <c r="S3" i="2" s="1"/>
  <c r="N31" i="2"/>
  <c r="R3" i="2"/>
  <c r="F24" i="2" l="1"/>
  <c r="G24" i="2" s="1"/>
  <c r="N114" i="2"/>
  <c r="B114" i="2" s="1"/>
  <c r="N112" i="2"/>
  <c r="E19" i="2"/>
  <c r="E20" i="2"/>
  <c r="F23" i="2"/>
  <c r="G23" i="2" s="1"/>
  <c r="B46" i="2"/>
  <c r="AW16" i="2" s="1"/>
  <c r="C130" i="2" l="1"/>
  <c r="C128" i="2"/>
  <c r="C127" i="2"/>
  <c r="C129" i="2"/>
  <c r="E114" i="2"/>
  <c r="F20" i="2"/>
  <c r="G20" i="2" s="1"/>
  <c r="B44" i="2"/>
  <c r="AW14" i="2" s="1"/>
  <c r="F19" i="2"/>
  <c r="G19" i="2" s="1"/>
  <c r="G32" i="2" s="1"/>
  <c r="G33" i="2" s="1"/>
  <c r="H23" i="2" s="1"/>
  <c r="AU31" i="2"/>
  <c r="BC16" i="2"/>
  <c r="BG16" i="2"/>
  <c r="BE16" i="2"/>
  <c r="BA16" i="2"/>
  <c r="AY16" i="2"/>
  <c r="H20" i="2" l="1"/>
  <c r="BG14" i="2"/>
  <c r="BC14" i="2"/>
  <c r="BE14" i="2"/>
  <c r="BA14" i="2"/>
  <c r="AU29" i="2"/>
  <c r="AY14" i="2"/>
  <c r="F130" i="2"/>
  <c r="N130" i="2" s="1"/>
  <c r="F128" i="2"/>
  <c r="N128" i="2" s="1"/>
  <c r="F129" i="2"/>
  <c r="N129" i="2" s="1"/>
  <c r="F127" i="2"/>
  <c r="N127" i="2" s="1"/>
  <c r="H24" i="2"/>
  <c r="H19" i="2"/>
  <c r="I30" i="2" l="1"/>
  <c r="I19" i="2" s="1"/>
  <c r="I34" i="2" s="1"/>
  <c r="H32" i="2"/>
  <c r="H33" i="2" s="1"/>
  <c r="H34" i="2" s="1"/>
  <c r="R19" i="2" l="1"/>
  <c r="R27" i="2" s="1"/>
  <c r="Q3" i="2" s="1"/>
  <c r="P19" i="2"/>
  <c r="P30" i="2" s="1"/>
  <c r="P37" i="2" s="1"/>
  <c r="P39" i="2" s="1"/>
  <c r="J19" i="2"/>
  <c r="I24" i="2"/>
  <c r="I23" i="2"/>
  <c r="I20" i="2"/>
  <c r="N19" i="2" l="1"/>
  <c r="N32" i="2" s="1"/>
  <c r="B53" i="2" s="1"/>
  <c r="B55" i="2" s="1"/>
  <c r="AW22" i="2" s="1"/>
  <c r="BE22" i="2" s="1"/>
  <c r="B43" i="2"/>
  <c r="AW13" i="2" s="1"/>
  <c r="P20" i="2"/>
  <c r="R20" i="2"/>
  <c r="J20" i="2"/>
  <c r="R23" i="2"/>
  <c r="P23" i="2"/>
  <c r="J23" i="2"/>
  <c r="R24" i="2"/>
  <c r="P24" i="2"/>
  <c r="J24" i="2"/>
  <c r="B47" i="2" s="1"/>
  <c r="AW17" i="2" s="1"/>
  <c r="J32" i="2"/>
  <c r="J33" i="2" s="1"/>
  <c r="K19" i="2"/>
  <c r="AY22" i="2" l="1"/>
  <c r="BE17" i="2"/>
  <c r="AY17" i="2"/>
  <c r="BC17" i="2"/>
  <c r="BA17" i="2"/>
  <c r="AU32" i="2"/>
  <c r="BG17" i="2"/>
  <c r="BG22" i="2"/>
  <c r="BA22" i="2"/>
  <c r="BC22" i="2"/>
  <c r="BC23" i="2" s="1"/>
  <c r="BM10" i="2" s="1"/>
  <c r="B59" i="2" s="1"/>
  <c r="BC13" i="2"/>
  <c r="BG13" i="2"/>
  <c r="BG23" i="2" s="1"/>
  <c r="BM11" i="2" s="1"/>
  <c r="B60" i="2" s="1"/>
  <c r="BE13" i="2"/>
  <c r="BE23" i="2" s="1"/>
  <c r="AY13" i="2"/>
  <c r="AY23" i="2" s="1"/>
  <c r="BM9" i="2" s="1"/>
  <c r="B58" i="2" s="1"/>
  <c r="AU28" i="2"/>
  <c r="BA13" i="2"/>
  <c r="BA23" i="2" s="1"/>
  <c r="K24" i="2"/>
  <c r="M24" i="2" s="1"/>
  <c r="N24" i="2"/>
  <c r="K23" i="2"/>
  <c r="M23" i="2" s="1"/>
  <c r="N16" i="2" s="1"/>
  <c r="BM8" i="2" s="1"/>
  <c r="B57" i="2" s="1"/>
  <c r="N23" i="2"/>
  <c r="K20" i="2"/>
  <c r="L20" i="2" s="1"/>
  <c r="N20" i="2"/>
  <c r="M19" i="2"/>
  <c r="L19" i="2"/>
  <c r="L34" i="2" s="1"/>
  <c r="N34" i="2"/>
  <c r="N33" i="2"/>
  <c r="L31" i="2"/>
  <c r="AU35" i="2" l="1"/>
  <c r="AU34" i="2"/>
  <c r="AV28" i="2" s="1"/>
  <c r="AU36" i="2"/>
  <c r="AW28" i="2" s="1"/>
  <c r="L24" i="2"/>
  <c r="L23" i="2"/>
  <c r="M20" i="2"/>
  <c r="M26" i="2"/>
  <c r="N15" i="2"/>
  <c r="AV32" i="2" l="1"/>
  <c r="AW32" i="2"/>
  <c r="BM5" i="2"/>
  <c r="B56" i="2" s="1"/>
  <c r="N17" i="2"/>
</calcChain>
</file>

<file path=xl/sharedStrings.xml><?xml version="1.0" encoding="utf-8"?>
<sst xmlns="http://schemas.openxmlformats.org/spreadsheetml/2006/main" count="259" uniqueCount="197">
  <si>
    <t>OMSCHRIJVING:</t>
  </si>
  <si>
    <t>CODE:</t>
  </si>
  <si>
    <t>fijn</t>
  </si>
  <si>
    <t>water</t>
  </si>
  <si>
    <t>pasta</t>
  </si>
  <si>
    <t>Poeder</t>
  </si>
  <si>
    <t>datum:</t>
  </si>
  <si>
    <t>versie:</t>
  </si>
  <si>
    <t>nr. betonspecificatie:</t>
  </si>
  <si>
    <t>preventieniveau:</t>
  </si>
  <si>
    <t>BENOR:</t>
  </si>
  <si>
    <t>Toepassing:</t>
  </si>
  <si>
    <t>Wegenisbeton</t>
  </si>
  <si>
    <t>sterkteklasse:</t>
  </si>
  <si>
    <t>omgevingsklasse:</t>
  </si>
  <si>
    <t>consistentie:</t>
  </si>
  <si>
    <t>ASR-blootstellingscategorie:</t>
  </si>
  <si>
    <t>categorie:</t>
  </si>
  <si>
    <t>Grondstoffen</t>
  </si>
  <si>
    <t>kg/m³</t>
  </si>
  <si>
    <t>chloridegehalte</t>
  </si>
  <si>
    <r>
      <t>Na</t>
    </r>
    <r>
      <rPr>
        <b/>
        <vertAlign val="subscript"/>
        <sz val="10"/>
        <rFont val="Arial"/>
        <family val="2"/>
      </rPr>
      <t>2</t>
    </r>
    <r>
      <rPr>
        <b/>
        <sz val="10"/>
        <rFont val="Arial"/>
        <family val="2"/>
      </rPr>
      <t>O</t>
    </r>
    <r>
      <rPr>
        <b/>
        <vertAlign val="subscript"/>
        <sz val="10"/>
        <rFont val="Arial"/>
        <family val="2"/>
      </rPr>
      <t>eq</t>
    </r>
  </si>
  <si>
    <t>€/kg</t>
  </si>
  <si>
    <t>€/m³</t>
  </si>
  <si>
    <t>duurzaamheid:</t>
  </si>
  <si>
    <t>milieuklasse:</t>
  </si>
  <si>
    <t>Dmax:</t>
  </si>
  <si>
    <t>nr. maatregel tegen ASR:</t>
  </si>
  <si>
    <t>betontype:</t>
  </si>
  <si>
    <t>grondstoffen</t>
  </si>
  <si>
    <t>%</t>
  </si>
  <si>
    <t>mg/kg</t>
  </si>
  <si>
    <t>ontwerp W/C-factor:</t>
  </si>
  <si>
    <t>luchtgehalte:</t>
  </si>
  <si>
    <t>Max W/C Factor:</t>
  </si>
  <si>
    <t>zand (%):</t>
  </si>
  <si>
    <t>opmerking:</t>
  </si>
  <si>
    <t>Interne code</t>
  </si>
  <si>
    <t>grind (%):</t>
  </si>
  <si>
    <t>samenstelling mengsel</t>
  </si>
  <si>
    <t>samenstelling m³</t>
  </si>
  <si>
    <t xml:space="preserve"> - </t>
  </si>
  <si>
    <t>Waterbehoefte</t>
  </si>
  <si>
    <t>Waterbehoefte in liters</t>
  </si>
  <si>
    <t>% chloridegehalte:</t>
  </si>
  <si>
    <t>CEMENT</t>
  </si>
  <si>
    <t>densiteit</t>
  </si>
  <si>
    <t>diverse</t>
  </si>
  <si>
    <t>mengsel (kg)</t>
  </si>
  <si>
    <t>droog (kg)</t>
  </si>
  <si>
    <t>droog (lit.)</t>
  </si>
  <si>
    <t>nat (kg)</t>
  </si>
  <si>
    <t>inert skelet (%)</t>
  </si>
  <si>
    <t>fijngehalte</t>
  </si>
  <si>
    <t>Totaal fijn</t>
  </si>
  <si>
    <t>Gehalte Na2Oeq (natriumequivalent):</t>
  </si>
  <si>
    <t>Zandfractie per uitvoering</t>
  </si>
  <si>
    <t>prijs/m³ :</t>
  </si>
  <si>
    <t>Z/G</t>
  </si>
  <si>
    <t>VULSTOF</t>
  </si>
  <si>
    <t>k-waarde</t>
  </si>
  <si>
    <t>W/C-factor</t>
  </si>
  <si>
    <t>GRANULAAT - ZAND</t>
  </si>
  <si>
    <t>vocht</t>
  </si>
  <si>
    <t>absorptie</t>
  </si>
  <si>
    <t>granulaat (%)</t>
  </si>
  <si>
    <t>abs. (lit.)</t>
  </si>
  <si>
    <t>GRANULAAT - GRIND &amp; STEENSLAG</t>
  </si>
  <si>
    <t>totaal bindmiddel:</t>
  </si>
  <si>
    <t>Totaal:</t>
  </si>
  <si>
    <t>ZEVEN</t>
  </si>
  <si>
    <t>HULPSTOF</t>
  </si>
  <si>
    <t>vaste stof</t>
  </si>
  <si>
    <t>a-waarde</t>
  </si>
  <si>
    <t>water (kg)</t>
  </si>
  <si>
    <t>WATER</t>
  </si>
  <si>
    <t>totaal:</t>
  </si>
  <si>
    <t>Pasta</t>
  </si>
  <si>
    <t>aanmaakwater - oppervlaktewater</t>
  </si>
  <si>
    <t>totaal water:</t>
  </si>
  <si>
    <t>W-waarde</t>
  </si>
  <si>
    <t>subtotaal:</t>
  </si>
  <si>
    <t>absorptie water voor granulaten:</t>
  </si>
  <si>
    <t>Poedergehalte</t>
  </si>
  <si>
    <t>rendement:</t>
  </si>
  <si>
    <t>densiteit:</t>
  </si>
  <si>
    <t>subtotaal zand:</t>
  </si>
  <si>
    <t>subtotaal grind:</t>
  </si>
  <si>
    <t>SAMENSTELLING</t>
  </si>
  <si>
    <t>zeven</t>
  </si>
  <si>
    <t>totaal mengsel</t>
  </si>
  <si>
    <t>streefmengsel</t>
  </si>
  <si>
    <t>minimum</t>
  </si>
  <si>
    <t>maximum</t>
  </si>
  <si>
    <t>slump door waterbehoefte</t>
  </si>
  <si>
    <t>slump superplast</t>
  </si>
  <si>
    <t>TOTAAL</t>
  </si>
  <si>
    <t>FORMULE VAN BUYST</t>
  </si>
  <si>
    <t>S =  Fck + 6</t>
  </si>
  <si>
    <t>D =  Fck + 8</t>
  </si>
  <si>
    <t>Richtwaarde</t>
  </si>
  <si>
    <t>Slump</t>
  </si>
  <si>
    <t>Water</t>
  </si>
  <si>
    <t>Fcm, Cub</t>
  </si>
  <si>
    <t>=a*N+(25/b)-c</t>
  </si>
  <si>
    <t>a</t>
  </si>
  <si>
    <t>b</t>
  </si>
  <si>
    <t>c</t>
  </si>
  <si>
    <t>N</t>
  </si>
  <si>
    <t>d</t>
  </si>
  <si>
    <t>50 mm</t>
  </si>
  <si>
    <t>1 liter hulpstof</t>
  </si>
  <si>
    <t>15,7 liter water</t>
  </si>
  <si>
    <t>100 mm</t>
  </si>
  <si>
    <t>150 mm</t>
  </si>
  <si>
    <t>Mpa</t>
  </si>
  <si>
    <t>200 mm</t>
  </si>
  <si>
    <t>absorptiewater:</t>
  </si>
  <si>
    <t>W/C</t>
  </si>
  <si>
    <t>=25/(Fcm+45-(a*N))</t>
  </si>
  <si>
    <t>water hulpstof:</t>
  </si>
  <si>
    <t>Water toe te voegen</t>
  </si>
  <si>
    <t>Maximale W/C-factor voor druksterkte te behalen</t>
  </si>
  <si>
    <t>gehalte Na2Oeq (natriumequivalent):</t>
  </si>
  <si>
    <t>max. doorval op zeef 500 μm:</t>
  </si>
  <si>
    <t>KORRELOPBOUW BETONSAMENSTELLING "WEGENBETON"</t>
  </si>
  <si>
    <t>type grondstof en leverancier:</t>
  </si>
  <si>
    <t>Rond Zand 0/2 (0/1) FF A f3 a CB SA Ecs20</t>
  </si>
  <si>
    <t>Rond Zand (0/4) CF A f3 a CB SA gewassen - speciaal</t>
  </si>
  <si>
    <t>grof gebroken kalksteengranulaat 6/20 Ca4a II f1,5 NG</t>
  </si>
  <si>
    <t>grof gebroken kalksteengranulaat 2/6 Ca4a I f2 NG</t>
  </si>
  <si>
    <t>mengsel zand</t>
  </si>
  <si>
    <t>mengsel totaal</t>
  </si>
  <si>
    <t>nr. BS:</t>
  </si>
  <si>
    <t>volume inert skelet</t>
  </si>
  <si>
    <t>code classificatie:</t>
  </si>
  <si>
    <t>WC50 C350 LA / CC40 A4 / CS35 FT3,0 WA6,4 / VL</t>
  </si>
  <si>
    <t>ideale zeeflijn</t>
  </si>
  <si>
    <t>MIN.</t>
  </si>
  <si>
    <t>MAX</t>
  </si>
  <si>
    <t>VERSCHIL</t>
  </si>
  <si>
    <t>dosering individueel (kg/m³):</t>
  </si>
  <si>
    <t>6mm</t>
  </si>
  <si>
    <t>dosering individueel (%):</t>
  </si>
  <si>
    <t>" - is teveel doorval/// te fijn)</t>
  </si>
  <si>
    <t>zandfractie:</t>
  </si>
  <si>
    <t>datum monstername:</t>
  </si>
  <si>
    <t>zandmengsel (%)</t>
  </si>
  <si>
    <t>Bodem</t>
  </si>
  <si>
    <t>REST</t>
  </si>
  <si>
    <t>IDEALE  ZANDCURVE</t>
  </si>
  <si>
    <t>Rond zand 0/4(0/2,5) MF A f3 a CB SA</t>
  </si>
  <si>
    <t xml:space="preserve">rond zand 0/4 CF A f3 a CB SA gewassen </t>
  </si>
  <si>
    <t>grof gebroken kalksteengranulaat 6/14 Ca4a II f1,5 NG</t>
  </si>
  <si>
    <t>ideale curve stortbeton</t>
  </si>
  <si>
    <t>Verschil</t>
  </si>
  <si>
    <r>
      <rPr>
        <b/>
        <i/>
        <u val="singleAccounting"/>
        <sz val="14"/>
        <color theme="1"/>
        <rFont val="Calibri"/>
        <family val="2"/>
        <scheme val="minor"/>
      </rPr>
      <t>opm:</t>
    </r>
    <r>
      <rPr>
        <sz val="11"/>
        <color theme="1"/>
        <rFont val="Calibri"/>
        <family val="2"/>
        <scheme val="minor"/>
      </rPr>
      <t xml:space="preserve"> bij -  (teveel doorval)</t>
    </r>
  </si>
  <si>
    <t>Bij Wegenis: zeefrest &lt; 15%  liefst 10%</t>
  </si>
  <si>
    <t>Bij wegenis: Tussen 0,250 mm en 0,500 mm     &gt; 30%</t>
  </si>
  <si>
    <t>FULLER FIJN</t>
  </si>
  <si>
    <t>A</t>
  </si>
  <si>
    <t>FULLER iDEAL</t>
  </si>
  <si>
    <t>B</t>
  </si>
  <si>
    <t>FULLER GROF</t>
  </si>
  <si>
    <t>C</t>
  </si>
  <si>
    <t>C,P,W,S</t>
  </si>
  <si>
    <t>20mm</t>
  </si>
  <si>
    <t>22mm</t>
  </si>
  <si>
    <t>Poly</t>
  </si>
  <si>
    <t>20mm poly</t>
  </si>
  <si>
    <t>W,P</t>
  </si>
  <si>
    <t>20mm C</t>
  </si>
  <si>
    <t>W,C</t>
  </si>
  <si>
    <t>16mm ZG</t>
  </si>
  <si>
    <t>C,P</t>
  </si>
  <si>
    <t>14mm</t>
  </si>
  <si>
    <t>W</t>
  </si>
  <si>
    <t>14mm W</t>
  </si>
  <si>
    <t xml:space="preserve">C,P,W </t>
  </si>
  <si>
    <t>Uitwas</t>
  </si>
  <si>
    <t>20mm uitwas</t>
  </si>
  <si>
    <t>Greppel</t>
  </si>
  <si>
    <t>20 mm Greppel</t>
  </si>
  <si>
    <t>Lokale wegenis</t>
  </si>
  <si>
    <t>20 mm Wegenis</t>
  </si>
  <si>
    <t>constructie</t>
  </si>
  <si>
    <t>zand</t>
  </si>
  <si>
    <t>Grind</t>
  </si>
  <si>
    <t>Polieren</t>
  </si>
  <si>
    <t>Wand</t>
  </si>
  <si>
    <t>C 8/10</t>
  </si>
  <si>
    <t>OB*</t>
  </si>
  <si>
    <t>X</t>
  </si>
  <si>
    <t>CEM III/B 42,5 N LH/SR - VVM nv. - Gent</t>
  </si>
  <si>
    <t>kalksteenfiller</t>
  </si>
  <si>
    <t>MasterAir 104 con 4% LBV</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</si>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</sst>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813]\ * #,##0.00_ ;_ [$€-813]\ * \-#,##0.00_ ;_ [$€-813]\ * &quot;-&quot;??_ ;_ @_ "/>
    <numFmt numFmtId="165" formatCode="0_ ;\-0\ "/>
    <numFmt numFmtId="166" formatCode="0&quot; l&quot;"/>
    <numFmt numFmtId="167" formatCode="0&quot; kg&quot;"/>
    <numFmt numFmtId="168" formatCode="0.000"/>
    <numFmt numFmtId="169" formatCode="0.0%"/>
    <numFmt numFmtId="170" formatCode="0.0"/>
    <numFmt numFmtId="171" formatCode="0.0000%"/>
    <numFmt numFmtId="172" formatCode="0.0000"/>
    <numFmt numFmtId="173" formatCode="_ &quot;€&quot;\ * #,##0.0000_ ;_ &quot;€&quot;\ * \-#,##0.0000_ ;_ &quot;€&quot;\ * &quot;-&quot;????_ ;_ @_ "/>
    <numFmt numFmtId="174" formatCode="_ [$€-813]\ * #,##0.0000_ ;_ [$€-813]\ * \-#,##0.0000_ ;_ [$€-813]\ * &quot;-&quot;??_ ;_ @_ "/>
    <numFmt numFmtId="175" formatCode="_ [$€-813]\ * #,##0.00000_ ;_ [$€-813]\ * \-#,##0.00000_ ;_ [$€-813]\ * &quot;-&quot;??_ ;_ @_ "/>
    <numFmt numFmtId="176" formatCode="0&quot; mm&quot;"/>
    <numFmt numFmtId="177" formatCode="&quot;€&quot;\ #,##0.00"/>
    <numFmt numFmtId="178" formatCode="#,##0.000_ ;\-#,##0.000\ "/>
    <numFmt numFmtId="179" formatCode="_ [$€-813]\ * #,##0.0_ ;_ [$€-813]\ * \-#,##0.0_ ;_ [$€-813]\ * &quot;-&quot;??_ ;_ @_ "/>
  </numFmts>
  <fonts count="4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Arial"/>
      <family val="2"/>
    </font>
    <font>
      <b/>
      <sz val="14"/>
      <color theme="0" tint="-0.34998626667073579"/>
      <name val="Arial Black"/>
      <family val="2"/>
    </font>
    <font>
      <sz val="14"/>
      <color theme="0" tint="-0.34998626667073579"/>
      <name val="Calibri"/>
      <family val="2"/>
      <scheme val="minor"/>
    </font>
    <font>
      <b/>
      <sz val="14"/>
      <color rgb="FFFF0000"/>
      <name val="Arial Black"/>
      <family val="2"/>
    </font>
    <font>
      <b/>
      <sz val="12"/>
      <name val="Arial"/>
      <family val="2"/>
    </font>
    <font>
      <sz val="12"/>
      <name val="Arial"/>
      <family val="2"/>
    </font>
    <font>
      <b/>
      <sz val="12"/>
      <color theme="1"/>
      <name val="Arial"/>
      <family val="2"/>
    </font>
    <font>
      <sz val="12"/>
      <color theme="1"/>
      <name val="Arial"/>
      <family val="2"/>
    </font>
    <font>
      <b/>
      <sz val="12"/>
      <color rgb="FFFF0000"/>
      <name val="Arial"/>
      <family val="2"/>
    </font>
    <font>
      <b/>
      <sz val="12"/>
      <color theme="1"/>
      <name val="Calibri"/>
      <family val="2"/>
      <scheme val="minor"/>
    </font>
    <font>
      <b/>
      <sz val="10"/>
      <name val="Arial"/>
      <family val="2"/>
    </font>
    <font>
      <sz val="10"/>
      <color theme="1"/>
      <name val="Arial"/>
      <family val="2"/>
    </font>
    <font>
      <b/>
      <vertAlign val="subscript"/>
      <sz val="10"/>
      <name val="Arial"/>
      <family val="2"/>
    </font>
    <font>
      <b/>
      <sz val="12"/>
      <color rgb="FF7030A0"/>
      <name val="Arial"/>
      <family val="2"/>
    </font>
    <font>
      <b/>
      <sz val="12"/>
      <color rgb="FF7030A0"/>
      <name val="Calibri"/>
      <family val="2"/>
      <scheme val="minor"/>
    </font>
    <font>
      <sz val="11"/>
      <name val="Calibri"/>
      <family val="2"/>
      <scheme val="minor"/>
    </font>
    <font>
      <b/>
      <i/>
      <u val="singleAccounting"/>
      <sz val="14"/>
      <name val="Arial"/>
      <family val="2"/>
    </font>
    <font>
      <sz val="10"/>
      <color theme="0"/>
      <name val="Arial"/>
      <family val="2"/>
    </font>
    <font>
      <sz val="16"/>
      <name val="Arial"/>
      <family val="2"/>
    </font>
    <font>
      <b/>
      <sz val="10"/>
      <color theme="1"/>
      <name val="Arial"/>
      <family val="2"/>
    </font>
    <font>
      <sz val="11"/>
      <color theme="1"/>
      <name val="Arial"/>
      <family val="2"/>
    </font>
    <font>
      <b/>
      <sz val="11"/>
      <name val="Arial"/>
      <family val="2"/>
    </font>
    <font>
      <b/>
      <i/>
      <sz val="10"/>
      <name val="Arial"/>
      <family val="2"/>
    </font>
    <font>
      <i/>
      <sz val="10"/>
      <name val="Arial"/>
      <family val="2"/>
    </font>
    <font>
      <b/>
      <sz val="16"/>
      <color theme="1"/>
      <name val="Arial"/>
      <family val="2"/>
    </font>
    <font>
      <sz val="14"/>
      <name val="Arial"/>
      <family val="2"/>
    </font>
    <font>
      <b/>
      <i/>
      <sz val="10"/>
      <color theme="1"/>
      <name val="Arial"/>
      <family val="2"/>
    </font>
    <font>
      <b/>
      <sz val="14"/>
      <color theme="0" tint="-0.34998626667073579"/>
      <name val="Arial"/>
      <family val="2"/>
    </font>
    <font>
      <sz val="14"/>
      <color theme="0" tint="-0.34998626667073579"/>
      <name val="Arial"/>
      <family val="2"/>
    </font>
    <font>
      <b/>
      <sz val="10"/>
      <color theme="0" tint="-0.34998626667073579"/>
      <name val="Arial"/>
      <family val="2"/>
    </font>
    <font>
      <b/>
      <sz val="8"/>
      <color theme="1"/>
      <name val="Arial"/>
      <family val="2"/>
    </font>
    <font>
      <sz val="8"/>
      <color theme="1"/>
      <name val="Calibri"/>
      <family val="2"/>
      <scheme val="minor"/>
    </font>
    <font>
      <b/>
      <i/>
      <sz val="10"/>
      <color theme="1"/>
      <name val="Calibri"/>
      <family val="2"/>
      <scheme val="minor"/>
    </font>
    <font>
      <sz val="10"/>
      <color theme="1"/>
      <name val="Calibri"/>
      <family val="2"/>
      <scheme val="minor"/>
    </font>
    <font>
      <b/>
      <sz val="16"/>
      <color rgb="FFFF0000"/>
      <name val="Arial"/>
      <family val="2"/>
    </font>
    <font>
      <sz val="16"/>
      <color rgb="FFFF0000"/>
      <name val="Arial"/>
      <family val="2"/>
    </font>
    <font>
      <sz val="16"/>
      <color theme="1"/>
      <name val="Calibri"/>
      <family val="2"/>
      <scheme val="minor"/>
    </font>
    <font>
      <sz val="10"/>
      <name val="MS Sans Serif"/>
      <family val="2"/>
    </font>
    <font>
      <b/>
      <i/>
      <u val="singleAccounting"/>
      <sz val="16"/>
      <color theme="1"/>
      <name val="Calibri"/>
      <family val="2"/>
      <scheme val="minor"/>
    </font>
    <font>
      <b/>
      <sz val="10"/>
      <color rgb="FFFF0000"/>
      <name val="Arial"/>
      <family val="2"/>
    </font>
    <font>
      <b/>
      <sz val="16"/>
      <name val="Arial"/>
      <family val="2"/>
    </font>
    <font>
      <b/>
      <i/>
      <u val="singleAccounting"/>
      <sz val="14"/>
      <color theme="1"/>
      <name val="Calibri"/>
      <family val="2"/>
      <scheme val="minor"/>
    </font>
    <font>
      <b/>
      <sz val="18"/>
      <color theme="1"/>
      <name val="Calibri"/>
      <family val="2"/>
      <scheme val="minor"/>
    </font>
  </fonts>
  <fills count="19">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0070C0"/>
        <bgColor indexed="64"/>
      </patternFill>
    </fill>
    <fill>
      <patternFill patternType="solid">
        <fgColor rgb="FFFF66FF"/>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3" tint="0.39997558519241921"/>
        <bgColor indexed="64"/>
      </patternFill>
    </fill>
    <fill>
      <patternFill patternType="solid">
        <fgColor rgb="FFCCECFF"/>
        <bgColor indexed="64"/>
      </patternFill>
    </fill>
    <fill>
      <patternFill patternType="solid">
        <fgColor rgb="FFFF0000"/>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FFFF"/>
        <bgColor indexed="64"/>
      </patternFill>
    </fill>
    <fill>
      <patternFill patternType="solid">
        <fgColor rgb="FF00B0F0"/>
        <bgColor indexed="64"/>
      </patternFill>
    </fill>
    <fill>
      <patternFill patternType="solid">
        <fgColor rgb="FFCC9900"/>
        <bgColor indexed="64"/>
      </patternFill>
    </fill>
    <fill>
      <patternFill patternType="solid">
        <fgColor theme="0" tint="-0.3499862666707357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thick">
        <color theme="0" tint="-0.34998626667073579"/>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1">
    <xf numFmtId="0" fontId="0" fillId="0" borderId="0"/>
    <xf numFmtId="9" fontId="1" fillId="0" borderId="0" applyFont="0" applyFill="0" applyBorder="0" applyAlignment="0" applyProtection="0"/>
    <xf numFmtId="164" fontId="3" fillId="0" borderId="0"/>
    <xf numFmtId="164" fontId="1" fillId="0" borderId="0"/>
    <xf numFmtId="164" fontId="3" fillId="0" borderId="0"/>
    <xf numFmtId="164" fontId="3" fillId="0" borderId="0"/>
    <xf numFmtId="164" fontId="1" fillId="0" borderId="0"/>
    <xf numFmtId="164" fontId="1" fillId="0" borderId="0"/>
    <xf numFmtId="9" fontId="41" fillId="0" borderId="0" applyFont="0" applyFill="0" applyBorder="0" applyAlignment="0" applyProtection="0"/>
    <xf numFmtId="164" fontId="3" fillId="0" borderId="0"/>
    <xf numFmtId="9" fontId="3" fillId="0" borderId="0" applyFont="0" applyFill="0" applyBorder="0" applyAlignment="0" applyProtection="0"/>
  </cellStyleXfs>
  <cellXfs count="347">
    <xf numFmtId="0" fontId="0" fillId="0" borderId="0" xfId="0"/>
    <xf numFmtId="1" fontId="4" fillId="2" borderId="0" xfId="2" applyNumberFormat="1" applyFont="1" applyFill="1" applyAlignment="1">
      <alignment horizontal="right" vertical="top" wrapText="1"/>
    </xf>
    <xf numFmtId="164" fontId="3" fillId="3" borderId="1" xfId="2" applyFill="1" applyBorder="1"/>
    <xf numFmtId="164" fontId="8" fillId="0" borderId="1" xfId="2" applyFont="1" applyBorder="1"/>
    <xf numFmtId="164" fontId="8" fillId="3" borderId="1" xfId="2" applyFont="1" applyFill="1" applyBorder="1"/>
    <xf numFmtId="164" fontId="3" fillId="3" borderId="0" xfId="2" applyFill="1"/>
    <xf numFmtId="164" fontId="3" fillId="2" borderId="0" xfId="2" applyFill="1"/>
    <xf numFmtId="164" fontId="9" fillId="2" borderId="0" xfId="2" applyFont="1" applyFill="1"/>
    <xf numFmtId="1" fontId="8" fillId="2" borderId="0" xfId="2" applyNumberFormat="1" applyFont="1" applyFill="1" applyAlignment="1">
      <alignment horizontal="right" vertical="top" wrapText="1"/>
    </xf>
    <xf numFmtId="14" fontId="8" fillId="3" borderId="0" xfId="2" applyNumberFormat="1" applyFont="1" applyFill="1" applyAlignment="1">
      <alignment horizontal="left" vertical="top"/>
    </xf>
    <xf numFmtId="165" fontId="8" fillId="3" borderId="0" xfId="2" applyNumberFormat="1" applyFont="1" applyFill="1" applyAlignment="1">
      <alignment horizontal="left" vertical="top"/>
    </xf>
    <xf numFmtId="165" fontId="8" fillId="3" borderId="0" xfId="2" applyNumberFormat="1" applyFont="1" applyFill="1" applyAlignment="1">
      <alignment horizontal="left" vertical="top" wrapText="1"/>
    </xf>
    <xf numFmtId="1" fontId="10" fillId="4" borderId="0" xfId="3" applyNumberFormat="1" applyFont="1" applyFill="1" applyAlignment="1">
      <alignment horizontal="right" vertical="top" wrapText="1"/>
    </xf>
    <xf numFmtId="165" fontId="10" fillId="3" borderId="0" xfId="3" applyNumberFormat="1" applyFont="1" applyFill="1" applyAlignment="1">
      <alignment horizontal="center" vertical="top"/>
    </xf>
    <xf numFmtId="166" fontId="12" fillId="3" borderId="1" xfId="2" applyNumberFormat="1" applyFont="1" applyFill="1" applyBorder="1"/>
    <xf numFmtId="167" fontId="12" fillId="3" borderId="1" xfId="2" applyNumberFormat="1" applyFont="1" applyFill="1" applyBorder="1"/>
    <xf numFmtId="164" fontId="9" fillId="3" borderId="0" xfId="2" applyFont="1" applyFill="1"/>
    <xf numFmtId="165" fontId="10" fillId="4" borderId="0" xfId="3" applyNumberFormat="1" applyFont="1" applyFill="1" applyAlignment="1">
      <alignment horizontal="left" vertical="top"/>
    </xf>
    <xf numFmtId="165" fontId="8" fillId="3" borderId="0" xfId="2" applyNumberFormat="1" applyFont="1" applyFill="1" applyAlignment="1">
      <alignment horizontal="center" vertical="top"/>
    </xf>
    <xf numFmtId="164" fontId="8" fillId="5" borderId="1" xfId="2" applyFont="1" applyFill="1" applyBorder="1" applyAlignment="1">
      <alignment horizontal="center"/>
    </xf>
    <xf numFmtId="164" fontId="8" fillId="5" borderId="1" xfId="2" applyFont="1" applyFill="1" applyBorder="1"/>
    <xf numFmtId="164" fontId="3" fillId="4" borderId="0" xfId="2" applyFill="1"/>
    <xf numFmtId="164" fontId="14" fillId="4" borderId="9" xfId="3" applyFont="1" applyFill="1" applyBorder="1" applyAlignment="1">
      <alignment horizontal="center" vertical="top" wrapText="1"/>
    </xf>
    <xf numFmtId="168" fontId="12" fillId="3" borderId="0" xfId="2" applyNumberFormat="1" applyFont="1" applyFill="1" applyAlignment="1">
      <alignment horizontal="left" vertical="top"/>
    </xf>
    <xf numFmtId="1" fontId="8" fillId="6" borderId="0" xfId="2" applyNumberFormat="1" applyFont="1" applyFill="1" applyAlignment="1">
      <alignment vertical="top" wrapText="1"/>
    </xf>
    <xf numFmtId="1" fontId="8" fillId="2" borderId="0" xfId="2" applyNumberFormat="1" applyFont="1" applyFill="1" applyAlignment="1">
      <alignment vertical="top" wrapText="1"/>
    </xf>
    <xf numFmtId="169" fontId="12" fillId="3" borderId="0" xfId="2" applyNumberFormat="1" applyFont="1" applyFill="1"/>
    <xf numFmtId="164" fontId="3" fillId="4" borderId="10" xfId="2" applyFill="1" applyBorder="1" applyAlignment="1">
      <alignment horizontal="left" vertical="top" wrapText="1"/>
    </xf>
    <xf numFmtId="164" fontId="3" fillId="4" borderId="11" xfId="2" applyFill="1" applyBorder="1" applyAlignment="1">
      <alignment horizontal="left" vertical="top" wrapText="1"/>
    </xf>
    <xf numFmtId="164" fontId="15" fillId="0" borderId="12" xfId="3" applyFont="1" applyBorder="1" applyAlignment="1">
      <alignment horizontal="left" vertical="top" wrapText="1"/>
    </xf>
    <xf numFmtId="170" fontId="3" fillId="4" borderId="1" xfId="2" applyNumberFormat="1" applyFill="1" applyBorder="1" applyAlignment="1">
      <alignment horizontal="center" vertical="top"/>
    </xf>
    <xf numFmtId="171" fontId="3" fillId="4" borderId="1" xfId="1" applyNumberFormat="1" applyFont="1" applyFill="1" applyBorder="1" applyAlignment="1">
      <alignment horizontal="center" vertical="top"/>
    </xf>
    <xf numFmtId="172" fontId="3" fillId="4" borderId="1" xfId="1" applyNumberFormat="1" applyFont="1" applyFill="1" applyBorder="1" applyAlignment="1">
      <alignment horizontal="center" vertical="top"/>
    </xf>
    <xf numFmtId="164" fontId="3" fillId="4" borderId="1" xfId="1" applyNumberFormat="1" applyFont="1" applyFill="1" applyBorder="1" applyAlignment="1">
      <alignment horizontal="center" vertical="top"/>
    </xf>
    <xf numFmtId="173" fontId="3" fillId="4" borderId="1" xfId="1" applyNumberFormat="1" applyFont="1" applyFill="1" applyBorder="1" applyAlignment="1">
      <alignment horizontal="center" vertical="top"/>
    </xf>
    <xf numFmtId="164" fontId="3" fillId="2" borderId="1" xfId="2" applyFill="1" applyBorder="1" applyAlignment="1">
      <alignment horizontal="left" vertical="top" wrapText="1"/>
    </xf>
    <xf numFmtId="164" fontId="15" fillId="0" borderId="1" xfId="3" applyFont="1" applyBorder="1" applyAlignment="1">
      <alignment horizontal="left" vertical="top" wrapText="1"/>
    </xf>
    <xf numFmtId="169" fontId="3" fillId="4" borderId="1" xfId="2" applyNumberFormat="1" applyFill="1" applyBorder="1"/>
    <xf numFmtId="165" fontId="8" fillId="3" borderId="0" xfId="2" applyNumberFormat="1" applyFont="1" applyFill="1" applyAlignment="1">
      <alignment vertical="top" wrapText="1"/>
    </xf>
    <xf numFmtId="165" fontId="19" fillId="0" borderId="0" xfId="3" applyNumberFormat="1" applyFont="1" applyAlignment="1">
      <alignment vertical="top" wrapText="1"/>
    </xf>
    <xf numFmtId="164" fontId="20" fillId="7" borderId="0" xfId="2" applyFont="1" applyFill="1"/>
    <xf numFmtId="1" fontId="20" fillId="7" borderId="0" xfId="2" applyNumberFormat="1" applyFont="1" applyFill="1"/>
    <xf numFmtId="164" fontId="3" fillId="4" borderId="0" xfId="2" applyFill="1" applyAlignment="1">
      <alignment horizontal="center" vertical="top" wrapText="1"/>
    </xf>
    <xf numFmtId="164" fontId="15" fillId="4" borderId="0" xfId="3" applyFont="1" applyFill="1" applyAlignment="1">
      <alignment horizontal="center" vertical="top" wrapText="1"/>
    </xf>
    <xf numFmtId="164" fontId="14" fillId="2" borderId="7" xfId="2" applyFont="1" applyFill="1" applyBorder="1" applyAlignment="1">
      <alignment horizontal="left" vertical="top"/>
    </xf>
    <xf numFmtId="164" fontId="3" fillId="2" borderId="7" xfId="2" applyFill="1" applyBorder="1" applyAlignment="1">
      <alignment horizontal="center" vertical="top"/>
    </xf>
    <xf numFmtId="165" fontId="21" fillId="2" borderId="0" xfId="2" quotePrefix="1" applyNumberFormat="1" applyFont="1" applyFill="1"/>
    <xf numFmtId="165" fontId="3" fillId="2" borderId="0" xfId="2" applyNumberFormat="1" applyFill="1"/>
    <xf numFmtId="164" fontId="14" fillId="2" borderId="1" xfId="2" applyFont="1" applyFill="1" applyBorder="1" applyAlignment="1">
      <alignment horizontal="center" vertical="center"/>
    </xf>
    <xf numFmtId="171" fontId="3" fillId="4" borderId="1" xfId="1" applyNumberFormat="1" applyFont="1" applyFill="1" applyBorder="1"/>
    <xf numFmtId="165" fontId="14" fillId="2" borderId="1" xfId="2" applyNumberFormat="1" applyFont="1" applyFill="1" applyBorder="1" applyAlignment="1">
      <alignment horizontal="left" vertical="top"/>
    </xf>
    <xf numFmtId="165" fontId="14" fillId="2" borderId="1" xfId="2" applyNumberFormat="1" applyFont="1" applyFill="1" applyBorder="1" applyAlignment="1">
      <alignment horizontal="center" vertical="top"/>
    </xf>
    <xf numFmtId="165" fontId="14" fillId="2" borderId="9" xfId="2" applyNumberFormat="1" applyFont="1" applyFill="1" applyBorder="1" applyAlignment="1">
      <alignment horizontal="center" vertical="top" wrapText="1"/>
    </xf>
    <xf numFmtId="164" fontId="3" fillId="2" borderId="12" xfId="2" applyFill="1" applyBorder="1"/>
    <xf numFmtId="164" fontId="3" fillId="2" borderId="1" xfId="2" applyFill="1" applyBorder="1"/>
    <xf numFmtId="172" fontId="3" fillId="4" borderId="1" xfId="2" applyNumberFormat="1" applyFill="1" applyBorder="1"/>
    <xf numFmtId="1" fontId="3" fillId="4" borderId="1" xfId="2" applyNumberFormat="1" applyFill="1" applyBorder="1" applyAlignment="1">
      <alignment horizontal="right" vertical="top"/>
    </xf>
    <xf numFmtId="170" fontId="14" fillId="3" borderId="1" xfId="2" applyNumberFormat="1" applyFont="1" applyFill="1" applyBorder="1" applyAlignment="1">
      <alignment horizontal="right" vertical="top"/>
    </xf>
    <xf numFmtId="164" fontId="3" fillId="4" borderId="1" xfId="2" applyFill="1" applyBorder="1" applyAlignment="1">
      <alignment horizontal="center" vertical="top"/>
    </xf>
    <xf numFmtId="170" fontId="3" fillId="8" borderId="1" xfId="2" applyNumberFormat="1" applyFill="1" applyBorder="1" applyAlignment="1">
      <alignment horizontal="center" vertical="top"/>
    </xf>
    <xf numFmtId="10" fontId="3" fillId="4" borderId="1" xfId="1" applyNumberFormat="1" applyFont="1" applyFill="1" applyBorder="1" applyAlignment="1">
      <alignment horizontal="center" vertical="top"/>
    </xf>
    <xf numFmtId="10" fontId="3" fillId="2" borderId="1" xfId="2" applyNumberFormat="1" applyFill="1" applyBorder="1"/>
    <xf numFmtId="2" fontId="3" fillId="2" borderId="1" xfId="2" applyNumberFormat="1" applyFill="1" applyBorder="1"/>
    <xf numFmtId="9" fontId="3" fillId="2" borderId="10" xfId="2" applyNumberFormat="1" applyFill="1" applyBorder="1"/>
    <xf numFmtId="173" fontId="3" fillId="4" borderId="1" xfId="2" applyNumberFormat="1" applyFill="1" applyBorder="1"/>
    <xf numFmtId="164" fontId="22" fillId="10" borderId="0" xfId="2" applyFont="1" applyFill="1"/>
    <xf numFmtId="169" fontId="3" fillId="2" borderId="1" xfId="1" applyNumberFormat="1" applyFont="1" applyFill="1" applyBorder="1"/>
    <xf numFmtId="174" fontId="3" fillId="4" borderId="1" xfId="1" applyNumberFormat="1" applyFont="1" applyFill="1" applyBorder="1" applyAlignment="1">
      <alignment horizontal="center" vertical="top"/>
    </xf>
    <xf numFmtId="164" fontId="14" fillId="2" borderId="1" xfId="2" applyFont="1" applyFill="1" applyBorder="1" applyAlignment="1">
      <alignment horizontal="left" vertical="top"/>
    </xf>
    <xf numFmtId="164" fontId="3" fillId="2" borderId="1" xfId="2" applyFill="1" applyBorder="1" applyAlignment="1">
      <alignment horizontal="right" vertical="top"/>
    </xf>
    <xf numFmtId="165" fontId="14" fillId="4" borderId="1" xfId="2" applyNumberFormat="1" applyFont="1" applyFill="1" applyBorder="1" applyAlignment="1">
      <alignment horizontal="center" vertical="top"/>
    </xf>
    <xf numFmtId="164" fontId="3" fillId="8" borderId="1" xfId="2" applyFill="1" applyBorder="1" applyAlignment="1">
      <alignment horizontal="center" vertical="top"/>
    </xf>
    <xf numFmtId="165" fontId="14" fillId="4" borderId="10" xfId="2" applyNumberFormat="1" applyFont="1" applyFill="1" applyBorder="1" applyAlignment="1">
      <alignment horizontal="right" vertical="top"/>
    </xf>
    <xf numFmtId="169" fontId="14" fillId="4" borderId="12" xfId="1" applyNumberFormat="1" applyFont="1" applyFill="1" applyBorder="1" applyAlignment="1">
      <alignment horizontal="left" vertical="top"/>
    </xf>
    <xf numFmtId="164" fontId="3" fillId="4" borderId="1" xfId="2" applyFill="1" applyBorder="1"/>
    <xf numFmtId="9" fontId="3" fillId="4" borderId="1" xfId="1" applyFont="1" applyFill="1" applyBorder="1" applyAlignment="1">
      <alignment horizontal="center" vertical="top"/>
    </xf>
    <xf numFmtId="10" fontId="3" fillId="4" borderId="1" xfId="2" applyNumberFormat="1" applyFill="1" applyBorder="1" applyAlignment="1">
      <alignment horizontal="center" vertical="top"/>
    </xf>
    <xf numFmtId="175" fontId="3" fillId="4" borderId="1" xfId="1" applyNumberFormat="1" applyFont="1" applyFill="1" applyBorder="1" applyAlignment="1">
      <alignment horizontal="center" vertical="top"/>
    </xf>
    <xf numFmtId="171" fontId="3" fillId="4" borderId="1" xfId="2" applyNumberFormat="1" applyFill="1" applyBorder="1" applyAlignment="1">
      <alignment horizontal="center" vertical="top"/>
    </xf>
    <xf numFmtId="171" fontId="3" fillId="4" borderId="0" xfId="1" applyNumberFormat="1" applyFont="1" applyFill="1" applyAlignment="1">
      <alignment horizontal="right" vertical="top"/>
    </xf>
    <xf numFmtId="164" fontId="3" fillId="4" borderId="0" xfId="2" applyFill="1" applyAlignment="1">
      <alignment horizontal="center" vertical="top"/>
    </xf>
    <xf numFmtId="164" fontId="14" fillId="4" borderId="1" xfId="2" applyFont="1" applyFill="1" applyBorder="1" applyAlignment="1">
      <alignment horizontal="center" vertical="top"/>
    </xf>
    <xf numFmtId="9" fontId="3" fillId="4" borderId="1" xfId="2" applyNumberFormat="1" applyFill="1" applyBorder="1" applyAlignment="1">
      <alignment horizontal="center" vertical="top"/>
    </xf>
    <xf numFmtId="164" fontId="3" fillId="2" borderId="5" xfId="2" applyFill="1" applyBorder="1"/>
    <xf numFmtId="2" fontId="14" fillId="3" borderId="1" xfId="2" applyNumberFormat="1" applyFont="1" applyFill="1" applyBorder="1" applyAlignment="1">
      <alignment horizontal="right" vertical="top"/>
    </xf>
    <xf numFmtId="2" fontId="3" fillId="4" borderId="1" xfId="2" applyNumberFormat="1" applyFill="1" applyBorder="1" applyAlignment="1">
      <alignment horizontal="center" vertical="top"/>
    </xf>
    <xf numFmtId="2" fontId="3" fillId="8" borderId="1" xfId="2" applyNumberFormat="1" applyFill="1" applyBorder="1" applyAlignment="1">
      <alignment horizontal="center" vertical="top"/>
    </xf>
    <xf numFmtId="1" fontId="3" fillId="4" borderId="9" xfId="2" applyNumberFormat="1" applyFill="1" applyBorder="1" applyAlignment="1">
      <alignment horizontal="center" vertical="top"/>
    </xf>
    <xf numFmtId="164" fontId="3" fillId="4" borderId="10" xfId="2" applyFill="1" applyBorder="1" applyAlignment="1">
      <alignment horizontal="left" vertical="top"/>
    </xf>
    <xf numFmtId="169" fontId="3" fillId="4" borderId="12" xfId="1" applyNumberFormat="1" applyFont="1" applyFill="1" applyBorder="1" applyAlignment="1">
      <alignment horizontal="center" vertical="top"/>
    </xf>
    <xf numFmtId="165" fontId="14" fillId="4" borderId="1" xfId="2" applyNumberFormat="1" applyFont="1" applyFill="1" applyBorder="1" applyAlignment="1">
      <alignment horizontal="right" vertical="top"/>
    </xf>
    <xf numFmtId="10" fontId="14" fillId="2" borderId="1" xfId="2" applyNumberFormat="1" applyFont="1" applyFill="1" applyBorder="1" applyAlignment="1">
      <alignment horizontal="center" vertical="center"/>
    </xf>
    <xf numFmtId="2" fontId="14" fillId="12" borderId="1" xfId="2" applyNumberFormat="1" applyFont="1" applyFill="1" applyBorder="1" applyAlignment="1">
      <alignment horizontal="center" vertical="center"/>
    </xf>
    <xf numFmtId="164" fontId="3" fillId="2" borderId="10" xfId="2" applyFill="1" applyBorder="1" applyAlignment="1">
      <alignment horizontal="right" vertical="top"/>
    </xf>
    <xf numFmtId="2" fontId="3" fillId="6" borderId="1" xfId="2" applyNumberFormat="1" applyFill="1" applyBorder="1" applyAlignment="1">
      <alignment horizontal="center" vertical="center"/>
    </xf>
    <xf numFmtId="166" fontId="3" fillId="11" borderId="1" xfId="2" applyNumberFormat="1" applyFill="1" applyBorder="1" applyAlignment="1">
      <alignment horizontal="center" vertical="center"/>
    </xf>
    <xf numFmtId="165" fontId="3" fillId="13" borderId="1" xfId="2" applyNumberFormat="1" applyFill="1" applyBorder="1"/>
    <xf numFmtId="170" fontId="14" fillId="13" borderId="1" xfId="2" applyNumberFormat="1" applyFont="1" applyFill="1" applyBorder="1" applyAlignment="1">
      <alignment horizontal="right" vertical="top"/>
    </xf>
    <xf numFmtId="164" fontId="14" fillId="2" borderId="10" xfId="2" applyFont="1" applyFill="1" applyBorder="1"/>
    <xf numFmtId="164" fontId="14" fillId="2" borderId="1" xfId="2" applyFont="1" applyFill="1" applyBorder="1"/>
    <xf numFmtId="164" fontId="14" fillId="4" borderId="1" xfId="2" applyFont="1" applyFill="1" applyBorder="1" applyAlignment="1">
      <alignment horizontal="right" vertical="top"/>
    </xf>
    <xf numFmtId="1" fontId="3" fillId="4" borderId="1" xfId="2" applyNumberFormat="1" applyFill="1" applyBorder="1" applyAlignment="1">
      <alignment horizontal="center" vertical="top"/>
    </xf>
    <xf numFmtId="170" fontId="3" fillId="4" borderId="0" xfId="2" applyNumberFormat="1" applyFill="1" applyAlignment="1">
      <alignment horizontal="left" vertical="top"/>
    </xf>
    <xf numFmtId="164" fontId="3" fillId="2" borderId="0" xfId="2" applyFill="1" applyAlignment="1">
      <alignment horizontal="right" vertical="top"/>
    </xf>
    <xf numFmtId="170" fontId="3" fillId="2" borderId="1" xfId="2" applyNumberFormat="1" applyFill="1" applyBorder="1" applyAlignment="1">
      <alignment horizontal="center" vertical="top"/>
    </xf>
    <xf numFmtId="169" fontId="3" fillId="2" borderId="0" xfId="2" applyNumberFormat="1" applyFill="1"/>
    <xf numFmtId="164" fontId="15" fillId="4" borderId="0" xfId="3" applyFont="1" applyFill="1"/>
    <xf numFmtId="165" fontId="8" fillId="2" borderId="1" xfId="2" applyNumberFormat="1" applyFont="1" applyFill="1" applyBorder="1" applyAlignment="1">
      <alignment horizontal="center" vertical="top"/>
    </xf>
    <xf numFmtId="165" fontId="3" fillId="4" borderId="1" xfId="2" applyNumberFormat="1" applyFill="1" applyBorder="1"/>
    <xf numFmtId="170" fontId="14" fillId="4" borderId="1" xfId="2" applyNumberFormat="1" applyFont="1" applyFill="1" applyBorder="1" applyAlignment="1">
      <alignment horizontal="right" vertical="top"/>
    </xf>
    <xf numFmtId="165" fontId="23" fillId="4" borderId="9" xfId="3" applyNumberFormat="1" applyFont="1" applyFill="1" applyBorder="1" applyAlignment="1">
      <alignment horizontal="center" vertical="top" wrapText="1"/>
    </xf>
    <xf numFmtId="176" fontId="3" fillId="14" borderId="1" xfId="2" applyNumberFormat="1" applyFill="1" applyBorder="1"/>
    <xf numFmtId="1" fontId="15" fillId="4" borderId="1" xfId="3" applyNumberFormat="1" applyFont="1" applyFill="1" applyBorder="1" applyAlignment="1">
      <alignment horizontal="center" vertical="top"/>
    </xf>
    <xf numFmtId="1" fontId="24" fillId="9" borderId="1" xfId="3" applyNumberFormat="1" applyFont="1" applyFill="1" applyBorder="1"/>
    <xf numFmtId="1" fontId="3" fillId="2" borderId="0" xfId="2" applyNumberFormat="1" applyFill="1"/>
    <xf numFmtId="176" fontId="14" fillId="15" borderId="1" xfId="2" applyNumberFormat="1" applyFont="1" applyFill="1" applyBorder="1"/>
    <xf numFmtId="164" fontId="14" fillId="14" borderId="0" xfId="2" applyFont="1" applyFill="1"/>
    <xf numFmtId="164" fontId="23" fillId="14" borderId="0" xfId="3" applyFont="1" applyFill="1"/>
    <xf numFmtId="2" fontId="15" fillId="4" borderId="1" xfId="3" applyNumberFormat="1" applyFont="1" applyFill="1" applyBorder="1" applyAlignment="1">
      <alignment horizontal="center" vertical="top"/>
    </xf>
    <xf numFmtId="2" fontId="24" fillId="9" borderId="1" xfId="1" applyNumberFormat="1" applyFont="1" applyFill="1" applyBorder="1"/>
    <xf numFmtId="170" fontId="15" fillId="4" borderId="1" xfId="3" applyNumberFormat="1" applyFont="1" applyFill="1" applyBorder="1" applyAlignment="1">
      <alignment horizontal="center" vertical="top"/>
    </xf>
    <xf numFmtId="2" fontId="3" fillId="12" borderId="1" xfId="2" applyNumberFormat="1" applyFill="1" applyBorder="1"/>
    <xf numFmtId="164" fontId="3" fillId="0" borderId="0" xfId="2"/>
    <xf numFmtId="164" fontId="3" fillId="0" borderId="16" xfId="2" applyBorder="1" applyAlignment="1">
      <alignment horizontal="center" vertical="center"/>
    </xf>
    <xf numFmtId="164" fontId="3" fillId="0" borderId="17" xfId="2" applyBorder="1" applyAlignment="1">
      <alignment horizontal="center" vertical="center"/>
    </xf>
    <xf numFmtId="164" fontId="25" fillId="2" borderId="1" xfId="2" applyFont="1" applyFill="1" applyBorder="1"/>
    <xf numFmtId="2" fontId="15" fillId="4" borderId="1" xfId="3" quotePrefix="1" applyNumberFormat="1" applyFont="1" applyFill="1" applyBorder="1"/>
    <xf numFmtId="164" fontId="26" fillId="2" borderId="1" xfId="2" applyFont="1" applyFill="1" applyBorder="1" applyAlignment="1">
      <alignment horizontal="center" vertical="center"/>
    </xf>
    <xf numFmtId="164" fontId="27" fillId="2" borderId="1" xfId="2" applyFont="1" applyFill="1" applyBorder="1" applyAlignment="1">
      <alignment horizontal="center" vertical="center"/>
    </xf>
    <xf numFmtId="1" fontId="3" fillId="0" borderId="9" xfId="2" applyNumberFormat="1" applyBorder="1" applyAlignment="1">
      <alignment horizontal="center" vertical="center"/>
    </xf>
    <xf numFmtId="164" fontId="14" fillId="9" borderId="1" xfId="2" applyFont="1" applyFill="1" applyBorder="1"/>
    <xf numFmtId="164" fontId="15" fillId="4" borderId="1" xfId="3" applyFont="1" applyFill="1" applyBorder="1"/>
    <xf numFmtId="2" fontId="3" fillId="2" borderId="1" xfId="2" applyNumberFormat="1" applyFill="1" applyBorder="1" applyAlignment="1">
      <alignment horizontal="center" vertical="center"/>
    </xf>
    <xf numFmtId="1" fontId="3" fillId="2" borderId="1" xfId="2" applyNumberFormat="1" applyFill="1" applyBorder="1" applyAlignment="1">
      <alignment horizontal="center" vertical="center"/>
    </xf>
    <xf numFmtId="1" fontId="3" fillId="0" borderId="1" xfId="2" applyNumberFormat="1" applyBorder="1" applyAlignment="1">
      <alignment horizontal="center" vertical="center"/>
    </xf>
    <xf numFmtId="2" fontId="3" fillId="0" borderId="0" xfId="2" applyNumberFormat="1"/>
    <xf numFmtId="2" fontId="14" fillId="4" borderId="1" xfId="2" applyNumberFormat="1" applyFont="1" applyFill="1" applyBorder="1" applyAlignment="1">
      <alignment horizontal="right" vertical="top"/>
    </xf>
    <xf numFmtId="2" fontId="28" fillId="10" borderId="1" xfId="3" applyNumberFormat="1" applyFont="1" applyFill="1" applyBorder="1" applyAlignment="1">
      <alignment horizontal="center" vertical="center"/>
    </xf>
    <xf numFmtId="164" fontId="4" fillId="2" borderId="1" xfId="2" applyFont="1" applyFill="1" applyBorder="1"/>
    <xf numFmtId="165" fontId="3" fillId="2" borderId="1" xfId="2" applyNumberFormat="1" applyFill="1" applyBorder="1" applyAlignment="1">
      <alignment horizontal="right" vertical="top"/>
    </xf>
    <xf numFmtId="164" fontId="15" fillId="4" borderId="1" xfId="3" quotePrefix="1" applyFont="1" applyFill="1" applyBorder="1"/>
    <xf numFmtId="168" fontId="15" fillId="4" borderId="1" xfId="3" applyNumberFormat="1" applyFont="1" applyFill="1" applyBorder="1" applyAlignment="1">
      <alignment horizontal="center" vertical="top"/>
    </xf>
    <xf numFmtId="169" fontId="23" fillId="4" borderId="1" xfId="1" applyNumberFormat="1" applyFont="1" applyFill="1" applyBorder="1" applyAlignment="1">
      <alignment horizontal="right" vertical="top"/>
    </xf>
    <xf numFmtId="168" fontId="28" fillId="9" borderId="0" xfId="3" applyNumberFormat="1" applyFont="1" applyFill="1" applyAlignment="1">
      <alignment horizontal="center" wrapText="1"/>
    </xf>
    <xf numFmtId="164" fontId="4" fillId="14" borderId="0" xfId="2" applyFont="1" applyFill="1"/>
    <xf numFmtId="164" fontId="29" fillId="14" borderId="0" xfId="2" applyFont="1" applyFill="1"/>
    <xf numFmtId="171" fontId="23" fillId="4" borderId="1" xfId="1" applyNumberFormat="1" applyFont="1" applyFill="1" applyBorder="1" applyAlignment="1">
      <alignment horizontal="right" vertical="top"/>
    </xf>
    <xf numFmtId="172" fontId="23" fillId="4" borderId="1" xfId="1" applyNumberFormat="1" applyFont="1" applyFill="1" applyBorder="1" applyAlignment="1">
      <alignment horizontal="right" vertical="top"/>
    </xf>
    <xf numFmtId="164" fontId="23" fillId="4" borderId="1" xfId="1" applyNumberFormat="1" applyFont="1" applyFill="1" applyBorder="1" applyAlignment="1">
      <alignment horizontal="right" vertical="top"/>
    </xf>
    <xf numFmtId="164" fontId="3" fillId="4" borderId="1" xfId="3" applyFont="1" applyFill="1" applyBorder="1" applyAlignment="1">
      <alignment horizontal="center" vertical="top"/>
    </xf>
    <xf numFmtId="177" fontId="15" fillId="4" borderId="1" xfId="3" applyNumberFormat="1" applyFont="1" applyFill="1" applyBorder="1"/>
    <xf numFmtId="164" fontId="1" fillId="4" borderId="0" xfId="3" applyFill="1"/>
    <xf numFmtId="164" fontId="1" fillId="4" borderId="1" xfId="3" applyFill="1" applyBorder="1"/>
    <xf numFmtId="177" fontId="1" fillId="4" borderId="1" xfId="3" applyNumberFormat="1" applyFill="1" applyBorder="1"/>
    <xf numFmtId="177" fontId="30" fillId="4" borderId="1" xfId="3" applyNumberFormat="1" applyFont="1" applyFill="1" applyBorder="1"/>
    <xf numFmtId="164" fontId="1" fillId="4" borderId="0" xfId="6" applyFill="1"/>
    <xf numFmtId="164" fontId="33" fillId="4" borderId="1" xfId="5" applyFont="1" applyFill="1" applyBorder="1" applyAlignment="1">
      <alignment horizontal="right" vertical="top" wrapText="1"/>
    </xf>
    <xf numFmtId="164" fontId="34" fillId="4" borderId="1" xfId="7" applyFont="1" applyFill="1" applyBorder="1" applyAlignment="1">
      <alignment horizontal="center" vertical="top" wrapText="1"/>
    </xf>
    <xf numFmtId="164" fontId="35" fillId="4" borderId="0" xfId="6" applyFont="1" applyFill="1"/>
    <xf numFmtId="164" fontId="33" fillId="4" borderId="5" xfId="5" applyFont="1" applyFill="1" applyBorder="1" applyAlignment="1">
      <alignment horizontal="right" vertical="top" wrapText="1"/>
    </xf>
    <xf numFmtId="164" fontId="36" fillId="4" borderId="1" xfId="6" applyFont="1" applyFill="1" applyBorder="1" applyAlignment="1">
      <alignment horizontal="center" vertical="center" wrapText="1"/>
    </xf>
    <xf numFmtId="164" fontId="37" fillId="4" borderId="0" xfId="6" applyFont="1" applyFill="1"/>
    <xf numFmtId="166" fontId="37" fillId="16" borderId="1" xfId="6" applyNumberFormat="1" applyFont="1" applyFill="1" applyBorder="1"/>
    <xf numFmtId="164" fontId="40" fillId="5" borderId="0" xfId="6" applyFont="1" applyFill="1"/>
    <xf numFmtId="164" fontId="1" fillId="5" borderId="0" xfId="6" applyFill="1"/>
    <xf numFmtId="164" fontId="37" fillId="9" borderId="19" xfId="6" applyFont="1" applyFill="1" applyBorder="1" applyAlignment="1">
      <alignment horizontal="center" vertical="center"/>
    </xf>
    <xf numFmtId="164" fontId="37" fillId="12" borderId="19" xfId="6" applyFont="1" applyFill="1" applyBorder="1" applyAlignment="1">
      <alignment horizontal="center" vertical="center"/>
    </xf>
    <xf numFmtId="164" fontId="37" fillId="11" borderId="19" xfId="6" applyFont="1" applyFill="1" applyBorder="1"/>
    <xf numFmtId="164" fontId="42" fillId="17" borderId="19" xfId="6" applyFont="1" applyFill="1" applyBorder="1"/>
    <xf numFmtId="164" fontId="40" fillId="17" borderId="0" xfId="6" applyFont="1" applyFill="1"/>
    <xf numFmtId="164" fontId="37" fillId="17" borderId="0" xfId="6" applyFont="1" applyFill="1"/>
    <xf numFmtId="1" fontId="3" fillId="4" borderId="1" xfId="5" applyNumberFormat="1" applyFill="1" applyBorder="1" applyAlignment="1">
      <alignment horizontal="center" vertical="top" wrapText="1"/>
    </xf>
    <xf numFmtId="9" fontId="3" fillId="4" borderId="1" xfId="1" applyFont="1" applyFill="1" applyBorder="1" applyAlignment="1" applyProtection="1">
      <alignment horizontal="center" vertical="top" wrapText="1"/>
      <protection locked="0" hidden="1"/>
    </xf>
    <xf numFmtId="9" fontId="3" fillId="18" borderId="1" xfId="10" applyFill="1" applyBorder="1" applyAlignment="1" applyProtection="1">
      <alignment horizontal="center" vertical="top" wrapText="1"/>
      <protection locked="0" hidden="1"/>
    </xf>
    <xf numFmtId="9" fontId="3" fillId="3" borderId="1" xfId="10" applyFill="1" applyBorder="1" applyAlignment="1" applyProtection="1">
      <alignment horizontal="center" vertical="top" wrapText="1"/>
      <protection locked="0" hidden="1"/>
    </xf>
    <xf numFmtId="9" fontId="3" fillId="4" borderId="1" xfId="10" applyFill="1" applyBorder="1" applyAlignment="1">
      <alignment horizontal="center" vertical="top" wrapText="1"/>
    </xf>
    <xf numFmtId="169" fontId="3" fillId="18" borderId="1" xfId="10" applyNumberFormat="1" applyFill="1" applyBorder="1" applyAlignment="1">
      <alignment horizontal="center" vertical="top" wrapText="1"/>
    </xf>
    <xf numFmtId="9" fontId="3" fillId="3" borderId="1" xfId="10" applyFill="1" applyBorder="1" applyAlignment="1">
      <alignment horizontal="center" vertical="top" wrapText="1"/>
    </xf>
    <xf numFmtId="2" fontId="1" fillId="4" borderId="0" xfId="6" applyNumberFormat="1" applyFill="1"/>
    <xf numFmtId="1" fontId="1" fillId="4" borderId="19" xfId="6" applyNumberFormat="1" applyFill="1" applyBorder="1" applyAlignment="1">
      <alignment horizontal="center" vertical="center"/>
    </xf>
    <xf numFmtId="9" fontId="1" fillId="4" borderId="19" xfId="1" applyFill="1" applyBorder="1"/>
    <xf numFmtId="170" fontId="3" fillId="4" borderId="1" xfId="5" applyNumberFormat="1" applyFill="1" applyBorder="1" applyAlignment="1">
      <alignment horizontal="center" vertical="top" wrapText="1"/>
    </xf>
    <xf numFmtId="170" fontId="1" fillId="4" borderId="19" xfId="6" applyNumberFormat="1" applyFill="1" applyBorder="1" applyAlignment="1">
      <alignment horizontal="center" vertical="center"/>
    </xf>
    <xf numFmtId="9" fontId="3" fillId="18" borderId="1" xfId="10" applyFill="1" applyBorder="1" applyAlignment="1">
      <alignment horizontal="center" vertical="top" wrapText="1"/>
    </xf>
    <xf numFmtId="164" fontId="15" fillId="4" borderId="9" xfId="6" applyFont="1" applyFill="1" applyBorder="1" applyAlignment="1">
      <alignment horizontal="center" vertical="top"/>
    </xf>
    <xf numFmtId="9" fontId="15" fillId="4" borderId="1" xfId="1" applyFont="1" applyFill="1" applyBorder="1" applyAlignment="1">
      <alignment horizontal="center" vertical="top"/>
    </xf>
    <xf numFmtId="168" fontId="3" fillId="4" borderId="1" xfId="5" applyNumberFormat="1" applyFill="1" applyBorder="1" applyAlignment="1">
      <alignment horizontal="center" vertical="top" wrapText="1"/>
    </xf>
    <xf numFmtId="168" fontId="1" fillId="4" borderId="19" xfId="6" applyNumberFormat="1" applyFill="1" applyBorder="1" applyAlignment="1">
      <alignment horizontal="center" vertical="center"/>
    </xf>
    <xf numFmtId="169" fontId="3" fillId="3" borderId="1" xfId="10" applyNumberFormat="1" applyFill="1" applyBorder="1" applyAlignment="1" applyProtection="1">
      <alignment horizontal="center" vertical="top" wrapText="1"/>
      <protection locked="0" hidden="1"/>
    </xf>
    <xf numFmtId="169" fontId="3" fillId="4" borderId="1" xfId="1" applyNumberFormat="1" applyFont="1" applyFill="1" applyBorder="1" applyAlignment="1" applyProtection="1">
      <alignment horizontal="center" vertical="top" wrapText="1"/>
      <protection locked="0" hidden="1"/>
    </xf>
    <xf numFmtId="169" fontId="3" fillId="4" borderId="1" xfId="10" applyNumberFormat="1" applyFill="1" applyBorder="1" applyAlignment="1">
      <alignment horizontal="center" vertical="top" wrapText="1"/>
    </xf>
    <xf numFmtId="164" fontId="3" fillId="4" borderId="1" xfId="5" applyFill="1" applyBorder="1" applyAlignment="1">
      <alignment horizontal="center" vertical="top" wrapText="1"/>
    </xf>
    <xf numFmtId="2" fontId="1" fillId="4" borderId="19" xfId="6" applyNumberFormat="1" applyFill="1" applyBorder="1" applyAlignment="1">
      <alignment horizontal="center" vertical="center"/>
    </xf>
    <xf numFmtId="164" fontId="3" fillId="4" borderId="0" xfId="5" applyFill="1"/>
    <xf numFmtId="178" fontId="3" fillId="4" borderId="0" xfId="5" applyNumberFormat="1" applyFill="1"/>
    <xf numFmtId="164" fontId="44" fillId="16" borderId="0" xfId="5" applyFont="1" applyFill="1"/>
    <xf numFmtId="178" fontId="3" fillId="16" borderId="0" xfId="5" applyNumberFormat="1" applyFill="1"/>
    <xf numFmtId="179" fontId="1" fillId="4" borderId="0" xfId="6" applyNumberFormat="1" applyFill="1"/>
    <xf numFmtId="164" fontId="1" fillId="4" borderId="1" xfId="6" applyFill="1" applyBorder="1" applyAlignment="1">
      <alignment horizontal="center" vertical="center"/>
    </xf>
    <xf numFmtId="164" fontId="1" fillId="4" borderId="1" xfId="6" applyFill="1" applyBorder="1"/>
    <xf numFmtId="164" fontId="0" fillId="7" borderId="0" xfId="6" applyFont="1" applyFill="1" applyAlignment="1">
      <alignment horizontal="center" vertical="center" wrapText="1"/>
    </xf>
    <xf numFmtId="9" fontId="1" fillId="4" borderId="1" xfId="1" applyFill="1" applyBorder="1"/>
    <xf numFmtId="9" fontId="3" fillId="4" borderId="1" xfId="10" applyFill="1" applyBorder="1" applyAlignment="1" applyProtection="1">
      <alignment horizontal="center" vertical="top" wrapText="1"/>
      <protection locked="0" hidden="1"/>
    </xf>
    <xf numFmtId="164" fontId="46" fillId="9" borderId="1" xfId="6" applyFont="1" applyFill="1" applyBorder="1"/>
    <xf numFmtId="164" fontId="1" fillId="9" borderId="1" xfId="6" applyFill="1" applyBorder="1"/>
    <xf numFmtId="164" fontId="3" fillId="4" borderId="0" xfId="5" applyFill="1" applyAlignment="1">
      <alignment horizontal="center" vertical="top" wrapText="1"/>
    </xf>
    <xf numFmtId="9" fontId="3" fillId="4" borderId="0" xfId="1" applyFont="1" applyFill="1" applyBorder="1" applyAlignment="1">
      <alignment horizontal="center" vertical="center"/>
    </xf>
    <xf numFmtId="2" fontId="14" fillId="4" borderId="1" xfId="5" applyNumberFormat="1" applyFont="1" applyFill="1" applyBorder="1" applyAlignment="1">
      <alignment textRotation="90"/>
    </xf>
    <xf numFmtId="2" fontId="2" fillId="4" borderId="1" xfId="6" applyNumberFormat="1" applyFont="1" applyFill="1" applyBorder="1" applyAlignment="1">
      <alignment textRotation="90"/>
    </xf>
    <xf numFmtId="164" fontId="3" fillId="4" borderId="1" xfId="5" applyFill="1" applyBorder="1"/>
    <xf numFmtId="164" fontId="14" fillId="4" borderId="1" xfId="5" applyFont="1" applyFill="1" applyBorder="1"/>
    <xf numFmtId="9" fontId="3" fillId="4" borderId="1" xfId="1" applyFont="1" applyFill="1" applyBorder="1" applyAlignment="1">
      <alignment horizontal="center" vertical="center"/>
    </xf>
    <xf numFmtId="9" fontId="1" fillId="4" borderId="1" xfId="1" applyFill="1" applyBorder="1" applyAlignment="1">
      <alignment horizontal="center" vertical="center"/>
    </xf>
    <xf numFmtId="9" fontId="3" fillId="2" borderId="1" xfId="1" applyFont="1" applyFill="1" applyBorder="1"/>
    <xf numFmtId="164" fontId="1" fillId="0" borderId="0" xfId="3"/>
    <xf numFmtId="164" fontId="1" fillId="0" borderId="23" xfId="3" applyBorder="1"/>
    <xf numFmtId="164" fontId="1" fillId="0" borderId="24" xfId="3" applyBorder="1"/>
    <xf numFmtId="164" fontId="1" fillId="0" borderId="25" xfId="3" applyBorder="1"/>
    <xf numFmtId="1" fontId="11" fillId="0" borderId="0" xfId="3" applyNumberFormat="1" applyFont="1" applyAlignment="1">
      <alignment vertical="top"/>
    </xf>
    <xf numFmtId="164" fontId="2" fillId="0" borderId="23" xfId="3" applyFont="1" applyBorder="1"/>
    <xf numFmtId="164" fontId="2" fillId="0" borderId="24" xfId="3" applyFont="1" applyBorder="1"/>
    <xf numFmtId="164" fontId="2" fillId="0" borderId="25" xfId="3" applyFont="1" applyBorder="1"/>
    <xf numFmtId="1" fontId="8" fillId="2" borderId="22" xfId="2" applyNumberFormat="1" applyFont="1" applyFill="1" applyBorder="1" applyAlignment="1">
      <alignment horizontal="right" vertical="top" wrapText="1"/>
    </xf>
    <xf numFmtId="1" fontId="8" fillId="2" borderId="22" xfId="2" applyNumberFormat="1" applyFont="1" applyFill="1" applyBorder="1" applyAlignment="1">
      <alignment vertical="top"/>
    </xf>
    <xf numFmtId="1" fontId="10" fillId="4" borderId="22" xfId="3" applyNumberFormat="1" applyFont="1" applyFill="1" applyBorder="1" applyAlignment="1">
      <alignment horizontal="right" vertical="top" wrapText="1"/>
    </xf>
    <xf numFmtId="14" fontId="1" fillId="0" borderId="24" xfId="3" applyNumberFormat="1" applyBorder="1" applyAlignment="1">
      <alignment horizontal="center" vertical="center"/>
    </xf>
    <xf numFmtId="0" fontId="1" fillId="0" borderId="24" xfId="3" applyNumberFormat="1" applyBorder="1" applyAlignment="1">
      <alignment horizontal="center" vertical="center"/>
    </xf>
    <xf numFmtId="0" fontId="2" fillId="0" borderId="24" xfId="3" applyNumberFormat="1" applyFont="1" applyBorder="1" applyAlignment="1">
      <alignment horizontal="center" vertical="center"/>
    </xf>
    <xf numFmtId="164" fontId="1" fillId="0" borderId="24" xfId="3" applyBorder="1" applyAlignment="1">
      <alignment horizontal="center" vertical="center"/>
    </xf>
    <xf numFmtId="14" fontId="43" fillId="4" borderId="10" xfId="9" applyNumberFormat="1" applyFont="1" applyFill="1" applyBorder="1" applyAlignment="1">
      <alignment horizontal="center" vertical="top" wrapText="1"/>
    </xf>
    <xf numFmtId="14" fontId="43" fillId="4" borderId="11" xfId="9" applyNumberFormat="1" applyFont="1" applyFill="1" applyBorder="1" applyAlignment="1">
      <alignment horizontal="center" vertical="top" wrapText="1"/>
    </xf>
    <xf numFmtId="164" fontId="3" fillId="0" borderId="12" xfId="4" applyBorder="1" applyAlignment="1">
      <alignment horizontal="center" vertical="top" wrapText="1"/>
    </xf>
    <xf numFmtId="9" fontId="23" fillId="18" borderId="10" xfId="8" applyFont="1" applyFill="1" applyBorder="1" applyAlignment="1">
      <alignment horizontal="center" vertical="top" wrapText="1"/>
    </xf>
    <xf numFmtId="164" fontId="3" fillId="18" borderId="12" xfId="4" applyFill="1" applyBorder="1" applyAlignment="1">
      <alignment horizontal="center" vertical="top" wrapText="1"/>
    </xf>
    <xf numFmtId="9" fontId="23" fillId="3" borderId="10" xfId="8" applyFont="1" applyFill="1" applyBorder="1" applyAlignment="1">
      <alignment horizontal="center" vertical="top" wrapText="1"/>
    </xf>
    <xf numFmtId="9" fontId="23" fillId="3" borderId="11" xfId="8" applyFont="1" applyFill="1" applyBorder="1" applyAlignment="1">
      <alignment horizontal="center" vertical="top" wrapText="1"/>
    </xf>
    <xf numFmtId="9" fontId="0" fillId="0" borderId="12" xfId="8" applyFont="1" applyBorder="1" applyAlignment="1">
      <alignment horizontal="center" vertical="top" wrapText="1"/>
    </xf>
    <xf numFmtId="9" fontId="23" fillId="18" borderId="10" xfId="7" applyNumberFormat="1" applyFont="1" applyFill="1" applyBorder="1" applyAlignment="1">
      <alignment horizontal="center" vertical="top" wrapText="1"/>
    </xf>
    <xf numFmtId="165" fontId="23" fillId="3" borderId="10" xfId="7" applyNumberFormat="1" applyFont="1" applyFill="1" applyBorder="1" applyAlignment="1">
      <alignment horizontal="center" vertical="top" wrapText="1"/>
    </xf>
    <xf numFmtId="9" fontId="23" fillId="3" borderId="10" xfId="7" applyNumberFormat="1" applyFont="1" applyFill="1" applyBorder="1" applyAlignment="1">
      <alignment horizontal="center" vertical="top" wrapText="1"/>
    </xf>
    <xf numFmtId="9" fontId="23" fillId="3" borderId="11" xfId="7" applyNumberFormat="1" applyFont="1" applyFill="1" applyBorder="1" applyAlignment="1">
      <alignment horizontal="center" vertical="top" wrapText="1"/>
    </xf>
    <xf numFmtId="9" fontId="3" fillId="0" borderId="12" xfId="4" applyNumberFormat="1" applyBorder="1" applyAlignment="1">
      <alignment horizontal="center" vertical="top" wrapText="1"/>
    </xf>
    <xf numFmtId="1" fontId="3" fillId="4" borderId="10" xfId="7" applyNumberFormat="1" applyFont="1" applyFill="1" applyBorder="1" applyAlignment="1">
      <alignment horizontal="left" vertical="top" wrapText="1"/>
    </xf>
    <xf numFmtId="1" fontId="3" fillId="4" borderId="11" xfId="7" applyNumberFormat="1" applyFont="1" applyFill="1" applyBorder="1" applyAlignment="1">
      <alignment horizontal="left" vertical="top" wrapText="1"/>
    </xf>
    <xf numFmtId="1" fontId="3" fillId="0" borderId="11" xfId="4" applyNumberFormat="1" applyBorder="1" applyAlignment="1">
      <alignment horizontal="left" vertical="top" wrapText="1"/>
    </xf>
    <xf numFmtId="1" fontId="3" fillId="0" borderId="12" xfId="4" applyNumberFormat="1" applyBorder="1" applyAlignment="1">
      <alignment horizontal="left" vertical="top" wrapText="1"/>
    </xf>
    <xf numFmtId="1" fontId="38" fillId="4" borderId="10" xfId="7" applyNumberFormat="1" applyFont="1" applyFill="1" applyBorder="1" applyAlignment="1">
      <alignment horizontal="left" vertical="top" wrapText="1"/>
    </xf>
    <xf numFmtId="1" fontId="38" fillId="4" borderId="11" xfId="7" applyNumberFormat="1" applyFont="1" applyFill="1" applyBorder="1" applyAlignment="1">
      <alignment horizontal="left" vertical="top" wrapText="1"/>
    </xf>
    <xf numFmtId="1" fontId="39" fillId="0" borderId="11" xfId="4" applyNumberFormat="1" applyFont="1" applyBorder="1" applyAlignment="1">
      <alignment horizontal="left" vertical="top" wrapText="1"/>
    </xf>
    <xf numFmtId="1" fontId="39" fillId="0" borderId="12" xfId="4" applyNumberFormat="1" applyFont="1" applyBorder="1" applyAlignment="1">
      <alignment horizontal="left" vertical="top" wrapText="1"/>
    </xf>
    <xf numFmtId="165" fontId="23" fillId="4" borderId="10" xfId="7" applyNumberFormat="1" applyFont="1" applyFill="1" applyBorder="1" applyAlignment="1">
      <alignment horizontal="center" vertical="top" wrapText="1"/>
    </xf>
    <xf numFmtId="165" fontId="23" fillId="4" borderId="11" xfId="7" applyNumberFormat="1" applyFont="1" applyFill="1" applyBorder="1" applyAlignment="1">
      <alignment horizontal="center" vertical="top" wrapText="1"/>
    </xf>
    <xf numFmtId="9" fontId="1" fillId="4" borderId="11" xfId="1" applyFill="1" applyBorder="1" applyAlignment="1">
      <alignment horizontal="center"/>
    </xf>
    <xf numFmtId="164" fontId="34" fillId="4" borderId="10" xfId="7" applyFont="1" applyFill="1" applyBorder="1" applyAlignment="1">
      <alignment horizontal="center" vertical="top" wrapText="1"/>
    </xf>
    <xf numFmtId="164" fontId="34" fillId="4" borderId="11" xfId="7" applyFont="1" applyFill="1" applyBorder="1" applyAlignment="1">
      <alignment horizontal="center" vertical="top" wrapText="1"/>
    </xf>
    <xf numFmtId="10" fontId="1" fillId="4" borderId="10" xfId="6" applyNumberFormat="1" applyFill="1" applyBorder="1" applyAlignment="1">
      <alignment horizontal="center" vertical="top" wrapText="1"/>
    </xf>
    <xf numFmtId="10" fontId="1" fillId="0" borderId="12" xfId="3" applyNumberFormat="1" applyBorder="1" applyAlignment="1">
      <alignment horizontal="center" vertical="top" wrapText="1"/>
    </xf>
    <xf numFmtId="164" fontId="15" fillId="4" borderId="5" xfId="6" applyFont="1" applyFill="1" applyBorder="1" applyAlignment="1">
      <alignment horizontal="center" vertical="top" wrapText="1"/>
    </xf>
    <xf numFmtId="164" fontId="1" fillId="0" borderId="5" xfId="3" applyBorder="1" applyAlignment="1">
      <alignment horizontal="center" vertical="top" wrapText="1"/>
    </xf>
    <xf numFmtId="164" fontId="40" fillId="11" borderId="20" xfId="6" applyFont="1" applyFill="1" applyBorder="1" applyAlignment="1">
      <alignment horizontal="center"/>
    </xf>
    <xf numFmtId="164" fontId="40" fillId="11" borderId="21" xfId="6" applyFont="1" applyFill="1" applyBorder="1" applyAlignment="1">
      <alignment horizontal="center"/>
    </xf>
    <xf numFmtId="165" fontId="23" fillId="4" borderId="12" xfId="7" applyNumberFormat="1" applyFont="1" applyFill="1" applyBorder="1" applyAlignment="1">
      <alignment horizontal="center" vertical="top" wrapText="1"/>
    </xf>
    <xf numFmtId="164" fontId="3" fillId="0" borderId="0" xfId="2" applyAlignment="1">
      <alignment horizontal="center"/>
    </xf>
    <xf numFmtId="165" fontId="23" fillId="4" borderId="10" xfId="3" applyNumberFormat="1" applyFont="1" applyFill="1" applyBorder="1" applyAlignment="1">
      <alignment horizontal="right" vertical="top" wrapText="1"/>
    </xf>
    <xf numFmtId="165" fontId="1" fillId="0" borderId="12" xfId="3" applyNumberFormat="1" applyBorder="1" applyAlignment="1">
      <alignment horizontal="right" vertical="top" wrapText="1"/>
    </xf>
    <xf numFmtId="164" fontId="31" fillId="4" borderId="18" xfId="2" applyFont="1" applyFill="1" applyBorder="1" applyAlignment="1">
      <alignment horizontal="center" vertical="center" wrapText="1"/>
    </xf>
    <xf numFmtId="164" fontId="32" fillId="4" borderId="18" xfId="2" applyFont="1" applyFill="1" applyBorder="1" applyAlignment="1">
      <alignment horizontal="center" vertical="center" wrapText="1"/>
    </xf>
    <xf numFmtId="164" fontId="15" fillId="0" borderId="18" xfId="4" applyFont="1" applyBorder="1" applyAlignment="1">
      <alignment wrapText="1"/>
    </xf>
    <xf numFmtId="164" fontId="3" fillId="4" borderId="7" xfId="5" applyFill="1" applyBorder="1" applyAlignment="1">
      <alignment horizontal="center" vertical="top" wrapText="1"/>
    </xf>
    <xf numFmtId="164" fontId="3" fillId="0" borderId="7" xfId="4" applyBorder="1" applyAlignment="1">
      <alignment horizontal="center" vertical="top" wrapText="1"/>
    </xf>
    <xf numFmtId="165" fontId="23" fillId="4" borderId="5" xfId="3" applyNumberFormat="1" applyFont="1" applyFill="1" applyBorder="1" applyAlignment="1">
      <alignment horizontal="center" vertical="top" wrapText="1"/>
    </xf>
    <xf numFmtId="165" fontId="2" fillId="0" borderId="9" xfId="3" applyNumberFormat="1" applyFont="1" applyBorder="1" applyAlignment="1">
      <alignment horizontal="center" vertical="top" wrapText="1"/>
    </xf>
    <xf numFmtId="165" fontId="2" fillId="0" borderId="5" xfId="3" applyNumberFormat="1" applyFont="1" applyBorder="1" applyAlignment="1">
      <alignment horizontal="center" vertical="top" wrapText="1"/>
    </xf>
    <xf numFmtId="2" fontId="15" fillId="4" borderId="1" xfId="3" applyNumberFormat="1" applyFont="1" applyFill="1" applyBorder="1" applyAlignment="1">
      <alignment horizontal="center" vertical="center"/>
    </xf>
    <xf numFmtId="2" fontId="4" fillId="10" borderId="0" xfId="2" applyNumberFormat="1" applyFont="1" applyFill="1" applyAlignment="1">
      <alignment horizontal="center" vertical="center" wrapText="1"/>
    </xf>
    <xf numFmtId="164" fontId="4" fillId="8" borderId="0" xfId="2" applyFont="1" applyFill="1" applyAlignment="1">
      <alignment horizontal="center" vertical="center"/>
    </xf>
    <xf numFmtId="10" fontId="3" fillId="4" borderId="1" xfId="2" applyNumberFormat="1" applyFill="1" applyBorder="1" applyAlignment="1">
      <alignment horizontal="center" vertical="top"/>
    </xf>
    <xf numFmtId="164" fontId="3" fillId="4" borderId="1" xfId="2" applyFill="1" applyBorder="1" applyAlignment="1">
      <alignment horizontal="center" vertical="top"/>
    </xf>
    <xf numFmtId="165" fontId="14" fillId="4" borderId="10" xfId="2" applyNumberFormat="1" applyFont="1" applyFill="1" applyBorder="1" applyAlignment="1">
      <alignment horizontal="right" vertical="top" wrapText="1"/>
    </xf>
    <xf numFmtId="165" fontId="1" fillId="4" borderId="11" xfId="3" applyNumberFormat="1" applyFill="1" applyBorder="1" applyAlignment="1">
      <alignment horizontal="right" vertical="top" wrapText="1"/>
    </xf>
    <xf numFmtId="165" fontId="1" fillId="4" borderId="12" xfId="3" applyNumberFormat="1" applyFill="1" applyBorder="1" applyAlignment="1">
      <alignment horizontal="right" vertical="top" wrapText="1"/>
    </xf>
    <xf numFmtId="167" fontId="3" fillId="7" borderId="1" xfId="2" applyNumberFormat="1" applyFill="1" applyBorder="1" applyAlignment="1">
      <alignment horizontal="center"/>
    </xf>
    <xf numFmtId="170" fontId="14" fillId="4" borderId="13" xfId="2" applyNumberFormat="1" applyFont="1" applyFill="1" applyBorder="1" applyAlignment="1">
      <alignment horizontal="center" vertical="top" wrapText="1"/>
    </xf>
    <xf numFmtId="170" fontId="15" fillId="4" borderId="13" xfId="3" applyNumberFormat="1" applyFont="1" applyFill="1" applyBorder="1" applyAlignment="1">
      <alignment horizontal="center" vertical="top" wrapText="1"/>
    </xf>
    <xf numFmtId="164" fontId="14" fillId="9" borderId="14" xfId="2" applyFont="1" applyFill="1" applyBorder="1" applyAlignment="1">
      <alignment horizontal="center" wrapText="1"/>
    </xf>
    <xf numFmtId="164" fontId="14" fillId="9" borderId="15" xfId="2" applyFont="1" applyFill="1" applyBorder="1" applyAlignment="1">
      <alignment horizontal="center" wrapText="1"/>
    </xf>
    <xf numFmtId="2" fontId="3" fillId="11" borderId="1" xfId="2" applyNumberFormat="1" applyFill="1" applyBorder="1" applyAlignment="1">
      <alignment horizontal="center" vertical="center"/>
    </xf>
    <xf numFmtId="164" fontId="14" fillId="4" borderId="13" xfId="2" applyFont="1" applyFill="1" applyBorder="1" applyAlignment="1">
      <alignment horizontal="center" vertical="top" wrapText="1"/>
    </xf>
    <xf numFmtId="164" fontId="15" fillId="4" borderId="13" xfId="3" applyFont="1" applyFill="1" applyBorder="1" applyAlignment="1">
      <alignment horizontal="center" vertical="top" wrapText="1"/>
    </xf>
    <xf numFmtId="164" fontId="3" fillId="4" borderId="10" xfId="2" applyFill="1" applyBorder="1" applyAlignment="1">
      <alignment horizontal="left" vertical="top" wrapText="1"/>
    </xf>
    <xf numFmtId="164" fontId="3" fillId="4" borderId="11" xfId="2" applyFill="1" applyBorder="1" applyAlignment="1">
      <alignment horizontal="left" vertical="top" wrapText="1"/>
    </xf>
    <xf numFmtId="164" fontId="15" fillId="0" borderId="12" xfId="3" applyFont="1" applyBorder="1" applyAlignment="1">
      <alignment horizontal="left" vertical="top" wrapText="1"/>
    </xf>
    <xf numFmtId="164" fontId="3" fillId="4" borderId="3" xfId="2" applyFill="1" applyBorder="1" applyAlignment="1">
      <alignment horizontal="right" vertical="top" wrapText="1"/>
    </xf>
    <xf numFmtId="164" fontId="15" fillId="0" borderId="4" xfId="3" applyFont="1" applyBorder="1" applyAlignment="1">
      <alignment horizontal="right" vertical="top" wrapText="1"/>
    </xf>
    <xf numFmtId="164" fontId="14" fillId="4" borderId="5" xfId="2" applyFont="1" applyFill="1" applyBorder="1" applyAlignment="1">
      <alignment horizontal="center" vertical="top" wrapText="1"/>
    </xf>
    <xf numFmtId="164" fontId="15" fillId="4" borderId="5" xfId="3" applyFont="1" applyFill="1" applyBorder="1" applyAlignment="1">
      <alignment horizontal="center" vertical="top" wrapText="1"/>
    </xf>
    <xf numFmtId="164" fontId="14" fillId="4" borderId="1" xfId="2" applyFont="1" applyFill="1" applyBorder="1" applyAlignment="1">
      <alignment horizontal="center" vertical="top"/>
    </xf>
    <xf numFmtId="168" fontId="14" fillId="4" borderId="13" xfId="2" applyNumberFormat="1" applyFont="1" applyFill="1" applyBorder="1" applyAlignment="1">
      <alignment horizontal="center" vertical="top" wrapText="1"/>
    </xf>
    <xf numFmtId="168" fontId="15" fillId="4" borderId="13" xfId="3" applyNumberFormat="1" applyFont="1" applyFill="1" applyBorder="1" applyAlignment="1">
      <alignment horizontal="center" vertical="top" wrapText="1"/>
    </xf>
    <xf numFmtId="170" fontId="14" fillId="3" borderId="10" xfId="2" applyNumberFormat="1" applyFont="1" applyFill="1" applyBorder="1" applyAlignment="1">
      <alignment horizontal="center" vertical="top"/>
    </xf>
    <xf numFmtId="170" fontId="14" fillId="3" borderId="12" xfId="2" applyNumberFormat="1" applyFont="1" applyFill="1" applyBorder="1" applyAlignment="1">
      <alignment horizontal="center" vertical="top"/>
    </xf>
    <xf numFmtId="165" fontId="14" fillId="2" borderId="10" xfId="2" applyNumberFormat="1" applyFont="1" applyFill="1" applyBorder="1" applyAlignment="1">
      <alignment horizontal="center" vertical="top"/>
    </xf>
    <xf numFmtId="165" fontId="14" fillId="2" borderId="12" xfId="2" applyNumberFormat="1" applyFont="1" applyFill="1" applyBorder="1" applyAlignment="1">
      <alignment horizontal="center" vertical="top"/>
    </xf>
    <xf numFmtId="164" fontId="3" fillId="4" borderId="10" xfId="2" applyFill="1" applyBorder="1" applyAlignment="1">
      <alignment horizontal="center" vertical="top"/>
    </xf>
    <xf numFmtId="164" fontId="3" fillId="4" borderId="12" xfId="2" applyFill="1" applyBorder="1" applyAlignment="1">
      <alignment horizontal="center" vertical="top"/>
    </xf>
    <xf numFmtId="164" fontId="3" fillId="2" borderId="10" xfId="2" applyFill="1" applyBorder="1" applyAlignment="1">
      <alignment horizontal="center" vertical="top"/>
    </xf>
    <xf numFmtId="164" fontId="3" fillId="2" borderId="12" xfId="2" applyFill="1" applyBorder="1" applyAlignment="1">
      <alignment horizontal="center" vertical="top"/>
    </xf>
    <xf numFmtId="164" fontId="3" fillId="9" borderId="1" xfId="2" applyFill="1" applyBorder="1" applyAlignment="1">
      <alignment horizontal="center"/>
    </xf>
    <xf numFmtId="165" fontId="14" fillId="2" borderId="6" xfId="2" applyNumberFormat="1" applyFont="1" applyFill="1" applyBorder="1" applyAlignment="1">
      <alignment horizontal="center" vertical="top" wrapText="1"/>
    </xf>
    <xf numFmtId="165" fontId="1" fillId="0" borderId="8" xfId="3" applyNumberFormat="1" applyBorder="1" applyAlignment="1">
      <alignment horizontal="center" vertical="top" wrapText="1"/>
    </xf>
    <xf numFmtId="165" fontId="14" fillId="2" borderId="1" xfId="2" applyNumberFormat="1" applyFont="1" applyFill="1" applyBorder="1" applyAlignment="1">
      <alignment horizontal="center" vertical="top" wrapText="1"/>
    </xf>
    <xf numFmtId="165" fontId="2" fillId="0" borderId="10" xfId="3" applyNumberFormat="1" applyFont="1" applyBorder="1" applyAlignment="1">
      <alignment horizontal="center" vertical="top" wrapText="1"/>
    </xf>
    <xf numFmtId="164" fontId="3" fillId="2" borderId="1" xfId="2" applyFill="1" applyBorder="1" applyAlignment="1">
      <alignment horizontal="left" vertical="top" wrapText="1"/>
    </xf>
    <xf numFmtId="164" fontId="15" fillId="0" borderId="1" xfId="3" applyFont="1" applyBorder="1" applyAlignment="1">
      <alignment horizontal="left" vertical="top" wrapText="1"/>
    </xf>
    <xf numFmtId="164" fontId="3" fillId="6" borderId="1" xfId="2" applyFill="1" applyBorder="1" applyAlignment="1">
      <alignment horizontal="center"/>
    </xf>
    <xf numFmtId="164" fontId="3" fillId="2" borderId="7" xfId="2" applyFill="1" applyBorder="1" applyAlignment="1">
      <alignment horizontal="center" vertical="top" wrapText="1"/>
    </xf>
    <xf numFmtId="164" fontId="1" fillId="0" borderId="8" xfId="3" applyBorder="1" applyAlignment="1">
      <alignment horizontal="center" vertical="top" wrapText="1"/>
    </xf>
    <xf numFmtId="165" fontId="14" fillId="2" borderId="5" xfId="2" applyNumberFormat="1" applyFont="1" applyFill="1" applyBorder="1" applyAlignment="1">
      <alignment horizontal="center" vertical="top" wrapText="1"/>
    </xf>
    <xf numFmtId="164" fontId="14" fillId="2" borderId="1" xfId="2" applyFont="1" applyFill="1" applyBorder="1" applyAlignment="1">
      <alignment horizontal="center" vertical="center"/>
    </xf>
    <xf numFmtId="164" fontId="14" fillId="2" borderId="1" xfId="2" applyFont="1" applyFill="1" applyBorder="1" applyAlignment="1">
      <alignment horizontal="center" vertical="center" wrapText="1"/>
    </xf>
    <xf numFmtId="165" fontId="2" fillId="0" borderId="1" xfId="3" applyNumberFormat="1" applyFont="1" applyBorder="1" applyAlignment="1">
      <alignment horizontal="center" vertical="top" wrapText="1"/>
    </xf>
    <xf numFmtId="164" fontId="8" fillId="4" borderId="0" xfId="2" applyFont="1" applyFill="1" applyAlignment="1">
      <alignment horizontal="right" vertical="top" wrapText="1"/>
    </xf>
    <xf numFmtId="164" fontId="13" fillId="4" borderId="0" xfId="3" applyFont="1" applyFill="1" applyAlignment="1">
      <alignment horizontal="right" vertical="top" wrapText="1"/>
    </xf>
    <xf numFmtId="2" fontId="17" fillId="3" borderId="0" xfId="2" applyNumberFormat="1" applyFont="1" applyFill="1" applyAlignment="1">
      <alignment horizontal="left" vertical="top" wrapText="1"/>
    </xf>
    <xf numFmtId="2" fontId="18" fillId="3" borderId="0" xfId="3" applyNumberFormat="1" applyFont="1" applyFill="1" applyAlignment="1">
      <alignment horizontal="left" vertical="top" wrapText="1"/>
    </xf>
    <xf numFmtId="1" fontId="8" fillId="2" borderId="0" xfId="2" applyNumberFormat="1" applyFont="1" applyFill="1" applyAlignment="1">
      <alignment horizontal="right" vertical="top" wrapText="1"/>
    </xf>
    <xf numFmtId="1" fontId="1" fillId="0" borderId="0" xfId="3" applyNumberFormat="1" applyAlignment="1">
      <alignment horizontal="right" vertical="top" wrapText="1"/>
    </xf>
    <xf numFmtId="165" fontId="8" fillId="3" borderId="0" xfId="2" applyNumberFormat="1" applyFont="1" applyFill="1" applyAlignment="1">
      <alignment horizontal="left" vertical="top" wrapText="1"/>
    </xf>
    <xf numFmtId="165" fontId="19" fillId="0" borderId="0" xfId="3" applyNumberFormat="1" applyFont="1" applyAlignment="1">
      <alignment horizontal="left" vertical="top" wrapText="1"/>
    </xf>
    <xf numFmtId="164" fontId="14" fillId="4" borderId="2" xfId="3" applyFont="1" applyFill="1" applyBorder="1" applyAlignment="1">
      <alignment horizontal="center" vertical="top" wrapText="1"/>
    </xf>
    <xf numFmtId="164" fontId="14" fillId="4" borderId="3" xfId="3" applyFont="1" applyFill="1" applyBorder="1" applyAlignment="1">
      <alignment horizontal="center" vertical="top" wrapText="1"/>
    </xf>
    <xf numFmtId="164" fontId="15" fillId="0" borderId="4" xfId="3" applyFont="1" applyBorder="1" applyAlignment="1">
      <alignment horizontal="center" vertical="top" wrapText="1"/>
    </xf>
    <xf numFmtId="164" fontId="3" fillId="4" borderId="3" xfId="3" applyFont="1" applyFill="1" applyBorder="1" applyAlignment="1">
      <alignment horizontal="center" vertical="top" wrapText="1"/>
    </xf>
    <xf numFmtId="164" fontId="14" fillId="4" borderId="5" xfId="3" applyFont="1" applyFill="1" applyBorder="1" applyAlignment="1">
      <alignment horizontal="center" vertical="top" wrapText="1"/>
    </xf>
    <xf numFmtId="164" fontId="15" fillId="4" borderId="9" xfId="3" applyFont="1" applyFill="1" applyBorder="1" applyAlignment="1">
      <alignment horizontal="center" vertical="top" wrapText="1"/>
    </xf>
    <xf numFmtId="1" fontId="13" fillId="0" borderId="0" xfId="3" applyNumberFormat="1" applyFont="1" applyAlignment="1">
      <alignment horizontal="right" vertical="top" wrapText="1"/>
    </xf>
    <xf numFmtId="165" fontId="1" fillId="0" borderId="0" xfId="3" applyNumberFormat="1" applyAlignment="1">
      <alignment horizontal="left" vertical="top" wrapText="1"/>
    </xf>
    <xf numFmtId="164" fontId="15" fillId="4" borderId="6" xfId="3" applyFont="1" applyFill="1" applyBorder="1" applyAlignment="1">
      <alignment horizontal="center" vertical="top" wrapText="1"/>
    </xf>
    <xf numFmtId="164" fontId="15" fillId="4" borderId="7" xfId="3" applyFont="1" applyFill="1" applyBorder="1" applyAlignment="1">
      <alignment horizontal="center" vertical="top" wrapText="1"/>
    </xf>
    <xf numFmtId="164" fontId="15" fillId="0" borderId="8" xfId="3" applyFont="1" applyBorder="1" applyAlignment="1">
      <alignment horizontal="center" vertical="top" wrapText="1"/>
    </xf>
    <xf numFmtId="165" fontId="5" fillId="2" borderId="0" xfId="2" applyNumberFormat="1" applyFont="1" applyFill="1" applyAlignment="1">
      <alignment horizontal="left" vertical="top" wrapText="1"/>
    </xf>
    <xf numFmtId="165" fontId="6" fillId="0" borderId="0" xfId="3" applyNumberFormat="1" applyFont="1" applyAlignment="1">
      <alignment horizontal="left" vertical="top" wrapText="1"/>
    </xf>
    <xf numFmtId="1" fontId="7" fillId="3" borderId="0" xfId="2" applyNumberFormat="1" applyFont="1" applyFill="1" applyAlignment="1">
      <alignment horizontal="left" vertical="top" wrapText="1"/>
    </xf>
    <xf numFmtId="1" fontId="7" fillId="3" borderId="0" xfId="3" applyNumberFormat="1" applyFont="1" applyFill="1" applyAlignment="1">
      <alignment horizontal="left" vertical="top" wrapText="1"/>
    </xf>
    <xf numFmtId="1" fontId="10" fillId="0" borderId="0" xfId="3" applyNumberFormat="1" applyFont="1" applyAlignment="1">
      <alignment horizontal="right" vertical="top" wrapText="1"/>
    </xf>
    <xf numFmtId="1" fontId="11" fillId="0" borderId="0" xfId="3" applyNumberFormat="1" applyFont="1" applyAlignment="1">
      <alignment horizontal="right" vertical="top" wrapText="1"/>
    </xf>
    <xf numFmtId="1" fontId="2" fillId="0" borderId="0" xfId="3" applyNumberFormat="1" applyFont="1" applyAlignment="1">
      <alignment horizontal="right" vertical="top" wrapText="1"/>
    </xf>
  </cellXfs>
  <cellStyles count="11">
    <cellStyle name="Procent" xfId="1" builtinId="5"/>
    <cellStyle name="Procent 2 2" xfId="10" xr:uid="{130355CF-BC11-4339-B232-7F5E153B1A6B}"/>
    <cellStyle name="Procent 3" xfId="8" xr:uid="{5E4C604A-C030-4A38-B79A-BEE46265C433}"/>
    <cellStyle name="Standaard" xfId="0" builtinId="0"/>
    <cellStyle name="Standaard 12 2 2" xfId="5" xr:uid="{EF2E82E1-EB55-420B-8394-E0E01344B906}"/>
    <cellStyle name="Standaard 2" xfId="2" xr:uid="{87B43E6E-5D8E-4512-9F29-49F8859E9B3F}"/>
    <cellStyle name="Standaard 2 4" xfId="9" xr:uid="{FC666028-354D-45FC-8318-F99FABE83316}"/>
    <cellStyle name="Standaard 3" xfId="3" xr:uid="{33CE6108-8B14-4BEB-B2A0-E3DDD0B6366D}"/>
    <cellStyle name="Standaard 3 2" xfId="4" xr:uid="{E06BEF5A-3B24-4F2E-8F4C-F3FB53207A75}"/>
    <cellStyle name="Standaard 3 2 2" xfId="7" xr:uid="{B8F1AE3C-9AE5-424E-A6DD-7C704E34EEB2}"/>
    <cellStyle name="Standaard 4" xfId="6" xr:uid="{C0F01C60-4882-4E59-B310-AB8B67D5A15B}"/>
  </cellStyles>
  <dxfs count="55">
    <dxf>
      <font>
        <color rgb="FF002060"/>
      </font>
      <fill>
        <patternFill>
          <bgColor rgb="FFFF0000"/>
        </patternFill>
      </fill>
    </dxf>
    <dxf>
      <font>
        <color rgb="FF9C5700"/>
      </font>
      <fill>
        <patternFill>
          <bgColor rgb="FFFFFF00"/>
        </patternFill>
      </fill>
    </dxf>
    <dxf>
      <font>
        <color rgb="FF006100"/>
      </font>
      <fill>
        <patternFill>
          <bgColor rgb="FF92D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ont>
        <b/>
        <i val="0"/>
        <condense val="0"/>
        <extend val="0"/>
        <color indexed="51"/>
      </font>
    </dxf>
    <dxf>
      <font>
        <b/>
        <i val="0"/>
        <condense val="0"/>
        <extend val="0"/>
        <color indexed="51"/>
      </font>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ont>
        <b/>
        <i val="0"/>
        <condense val="0"/>
        <extend val="0"/>
        <color indexed="51"/>
      </font>
    </dxf>
    <dxf>
      <font>
        <b/>
        <i val="0"/>
        <color rgb="FF00B050"/>
      </font>
    </dxf>
    <dxf>
      <font>
        <b/>
        <i val="0"/>
        <color rgb="FFFF0000"/>
      </font>
    </dxf>
    <dxf>
      <font>
        <b/>
        <i val="0"/>
        <condense val="0"/>
        <extend val="0"/>
        <color indexed="51"/>
      </font>
    </dxf>
    <dxf>
      <font>
        <b/>
        <i val="0"/>
        <condense val="0"/>
        <extend val="0"/>
        <color indexed="51"/>
      </font>
    </dxf>
    <dxf>
      <font>
        <b/>
        <i val="0"/>
        <condense val="0"/>
        <extend val="0"/>
        <color indexed="51"/>
      </font>
    </dxf>
    <dxf>
      <font>
        <b/>
        <i val="0"/>
        <condense val="0"/>
        <extend val="0"/>
        <color indexed="5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manualLayout>
          <c:layoutTarget val="inner"/>
          <c:xMode val="edge"/>
          <c:yMode val="edge"/>
          <c:x val="0.1024838145231846"/>
          <c:y val="0.17515711577719451"/>
          <c:w val="0.85862729658792647"/>
          <c:h val="0.64003608923884514"/>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'[13]1'!$L$43:$L$59</c:f>
              <c:numCache>
                <c:formatCode>General</c:formatCode>
                <c:ptCount val="17"/>
                <c:pt idx="0">
                  <c:v>100</c:v>
                </c:pt>
                <c:pt idx="1">
                  <c:v>100</c:v>
                </c:pt>
                <c:pt idx="2">
                  <c:v>100</c:v>
                </c:pt>
                <c:pt idx="3">
                  <c:v>100</c:v>
                </c:pt>
                <c:pt idx="4">
                  <c:v>100</c:v>
                </c:pt>
                <c:pt idx="5">
                  <c:v>100</c:v>
                </c:pt>
                <c:pt idx="6">
                  <c:v>100</c:v>
                </c:pt>
                <c:pt idx="7">
                  <c:v>100</c:v>
                </c:pt>
                <c:pt idx="8">
                  <c:v>95.41</c:v>
                </c:pt>
                <c:pt idx="9">
                  <c:v>75.522000000000006</c:v>
                </c:pt>
                <c:pt idx="10">
                  <c:v>45.22</c:v>
                </c:pt>
                <c:pt idx="11">
                  <c:v>36.809999999999995</c:v>
                </c:pt>
                <c:pt idx="12">
                  <c:v>28.021000000000001</c:v>
                </c:pt>
                <c:pt idx="13">
                  <c:v>6.9510000000000005</c:v>
                </c:pt>
                <c:pt idx="14">
                  <c:v>2.5410000000000004</c:v>
                </c:pt>
                <c:pt idx="15">
                  <c:v>1.4140000000000001</c:v>
                </c:pt>
                <c:pt idx="16">
                  <c:v>0</c:v>
                </c:pt>
              </c:numCache>
            </c:numRef>
          </c:val>
          <c:smooth val="0"/>
          <c:extLst>
            <c:ext xmlns:c16="http://schemas.microsoft.com/office/drawing/2014/chart" uri="{C3380CC4-5D6E-409C-BE32-E72D297353CC}">
              <c16:uniqueId val="{00000000-1841-4F2E-9A5C-0FA82F0F620E}"/>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'[13]1'!$M$43:$M$59</c:f>
              <c:numCache>
                <c:formatCode>General</c:formatCode>
                <c:ptCount val="17"/>
                <c:pt idx="0">
                  <c:v>95</c:v>
                </c:pt>
                <c:pt idx="1">
                  <c:v>95</c:v>
                </c:pt>
                <c:pt idx="2">
                  <c:v>95</c:v>
                </c:pt>
                <c:pt idx="3">
                  <c:v>95</c:v>
                </c:pt>
                <c:pt idx="4">
                  <c:v>95</c:v>
                </c:pt>
                <c:pt idx="5">
                  <c:v>95</c:v>
                </c:pt>
                <c:pt idx="6">
                  <c:v>95</c:v>
                </c:pt>
                <c:pt idx="7">
                  <c:v>95</c:v>
                </c:pt>
                <c:pt idx="8">
                  <c:v>90.999999999999986</c:v>
                </c:pt>
                <c:pt idx="9">
                  <c:v>68</c:v>
                </c:pt>
                <c:pt idx="10">
                  <c:v>43</c:v>
                </c:pt>
                <c:pt idx="11">
                  <c:v>35</c:v>
                </c:pt>
                <c:pt idx="12">
                  <c:v>26</c:v>
                </c:pt>
                <c:pt idx="13">
                  <c:v>5</c:v>
                </c:pt>
                <c:pt idx="14">
                  <c:v>-4</c:v>
                </c:pt>
                <c:pt idx="15">
                  <c:v>-4</c:v>
                </c:pt>
                <c:pt idx="16">
                  <c:v>-5</c:v>
                </c:pt>
              </c:numCache>
            </c:numRef>
          </c:val>
          <c:smooth val="0"/>
          <c:extLst>
            <c:ext xmlns:c16="http://schemas.microsoft.com/office/drawing/2014/chart" uri="{C3380CC4-5D6E-409C-BE32-E72D297353CC}">
              <c16:uniqueId val="{00000001-1841-4F2E-9A5C-0FA82F0F620E}"/>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'[13]1'!$N$43:$N$59</c:f>
              <c:numCache>
                <c:formatCode>General</c:formatCode>
                <c:ptCount val="17"/>
                <c:pt idx="0">
                  <c:v>105</c:v>
                </c:pt>
                <c:pt idx="1">
                  <c:v>105</c:v>
                </c:pt>
                <c:pt idx="2">
                  <c:v>105</c:v>
                </c:pt>
                <c:pt idx="3">
                  <c:v>105</c:v>
                </c:pt>
                <c:pt idx="4">
                  <c:v>105</c:v>
                </c:pt>
                <c:pt idx="5">
                  <c:v>105</c:v>
                </c:pt>
                <c:pt idx="6">
                  <c:v>105</c:v>
                </c:pt>
                <c:pt idx="7">
                  <c:v>105</c:v>
                </c:pt>
                <c:pt idx="8">
                  <c:v>101</c:v>
                </c:pt>
                <c:pt idx="9">
                  <c:v>78</c:v>
                </c:pt>
                <c:pt idx="10">
                  <c:v>53</c:v>
                </c:pt>
                <c:pt idx="11">
                  <c:v>45</c:v>
                </c:pt>
                <c:pt idx="12">
                  <c:v>36</c:v>
                </c:pt>
                <c:pt idx="13">
                  <c:v>15.000000000000002</c:v>
                </c:pt>
                <c:pt idx="14">
                  <c:v>6.0000000000000009</c:v>
                </c:pt>
                <c:pt idx="15">
                  <c:v>6.0000000000000009</c:v>
                </c:pt>
                <c:pt idx="16">
                  <c:v>5</c:v>
                </c:pt>
              </c:numCache>
            </c:numRef>
          </c:val>
          <c:smooth val="0"/>
          <c:extLst>
            <c:ext xmlns:c16="http://schemas.microsoft.com/office/drawing/2014/chart" uri="{C3380CC4-5D6E-409C-BE32-E72D297353CC}">
              <c16:uniqueId val="{00000002-1841-4F2E-9A5C-0FA82F0F620E}"/>
            </c:ext>
          </c:extLst>
        </c:ser>
        <c:dLbls>
          <c:showLegendKey val="0"/>
          <c:showVal val="0"/>
          <c:showCatName val="0"/>
          <c:showSerName val="0"/>
          <c:showPercent val="0"/>
          <c:showBubbleSize val="0"/>
        </c:dLbls>
        <c:marker val="1"/>
        <c:smooth val="0"/>
        <c:axId val="772097488"/>
        <c:axId val="772105808"/>
      </c:lineChart>
      <c:catAx>
        <c:axId val="772097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72105808"/>
        <c:crosses val="autoZero"/>
        <c:auto val="1"/>
        <c:lblAlgn val="ctr"/>
        <c:lblOffset val="100"/>
        <c:noMultiLvlLbl val="0"/>
      </c:catAx>
      <c:valAx>
        <c:axId val="772105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720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manualLayout>
          <c:layoutTarget val="inner"/>
          <c:xMode val="edge"/>
          <c:yMode val="edge"/>
          <c:x val="0.1024838145231846"/>
          <c:y val="0.17515711577719451"/>
          <c:w val="0.85862729658792647"/>
          <c:h val="0.64003608923884514"/>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'[13]1'!$L$43:$L$59</c:f>
              <c:numCache>
                <c:formatCode>General</c:formatCode>
                <c:ptCount val="17"/>
                <c:pt idx="0">
                  <c:v>100</c:v>
                </c:pt>
                <c:pt idx="1">
                  <c:v>100</c:v>
                </c:pt>
                <c:pt idx="2">
                  <c:v>100</c:v>
                </c:pt>
                <c:pt idx="3">
                  <c:v>100</c:v>
                </c:pt>
                <c:pt idx="4">
                  <c:v>100</c:v>
                </c:pt>
                <c:pt idx="5">
                  <c:v>100</c:v>
                </c:pt>
                <c:pt idx="6">
                  <c:v>100</c:v>
                </c:pt>
                <c:pt idx="7">
                  <c:v>100</c:v>
                </c:pt>
                <c:pt idx="8">
                  <c:v>95.41</c:v>
                </c:pt>
                <c:pt idx="9">
                  <c:v>75.522000000000006</c:v>
                </c:pt>
                <c:pt idx="10">
                  <c:v>45.22</c:v>
                </c:pt>
                <c:pt idx="11">
                  <c:v>36.809999999999995</c:v>
                </c:pt>
                <c:pt idx="12">
                  <c:v>28.021000000000001</c:v>
                </c:pt>
                <c:pt idx="13">
                  <c:v>6.9510000000000005</c:v>
                </c:pt>
                <c:pt idx="14">
                  <c:v>2.5410000000000004</c:v>
                </c:pt>
                <c:pt idx="15">
                  <c:v>1.4140000000000001</c:v>
                </c:pt>
                <c:pt idx="16">
                  <c:v>0</c:v>
                </c:pt>
              </c:numCache>
            </c:numRef>
          </c:val>
          <c:smooth val="0"/>
          <c:extLst>
            <c:ext xmlns:c16="http://schemas.microsoft.com/office/drawing/2014/chart" uri="{C3380CC4-5D6E-409C-BE32-E72D297353CC}">
              <c16:uniqueId val="{00000000-8A83-45C3-BAC3-D01397444840}"/>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'[13]1'!$M$43:$M$59</c:f>
              <c:numCache>
                <c:formatCode>General</c:formatCode>
                <c:ptCount val="17"/>
                <c:pt idx="0">
                  <c:v>95</c:v>
                </c:pt>
                <c:pt idx="1">
                  <c:v>95</c:v>
                </c:pt>
                <c:pt idx="2">
                  <c:v>95</c:v>
                </c:pt>
                <c:pt idx="3">
                  <c:v>95</c:v>
                </c:pt>
                <c:pt idx="4">
                  <c:v>95</c:v>
                </c:pt>
                <c:pt idx="5">
                  <c:v>95</c:v>
                </c:pt>
                <c:pt idx="6">
                  <c:v>95</c:v>
                </c:pt>
                <c:pt idx="7">
                  <c:v>95</c:v>
                </c:pt>
                <c:pt idx="8">
                  <c:v>90.999999999999986</c:v>
                </c:pt>
                <c:pt idx="9">
                  <c:v>68</c:v>
                </c:pt>
                <c:pt idx="10">
                  <c:v>43</c:v>
                </c:pt>
                <c:pt idx="11">
                  <c:v>35</c:v>
                </c:pt>
                <c:pt idx="12">
                  <c:v>26</c:v>
                </c:pt>
                <c:pt idx="13">
                  <c:v>5</c:v>
                </c:pt>
                <c:pt idx="14">
                  <c:v>-4</c:v>
                </c:pt>
                <c:pt idx="15">
                  <c:v>-4</c:v>
                </c:pt>
                <c:pt idx="16">
                  <c:v>-5</c:v>
                </c:pt>
              </c:numCache>
            </c:numRef>
          </c:val>
          <c:smooth val="0"/>
          <c:extLst>
            <c:ext xmlns:c16="http://schemas.microsoft.com/office/drawing/2014/chart" uri="{C3380CC4-5D6E-409C-BE32-E72D297353CC}">
              <c16:uniqueId val="{00000001-8A83-45C3-BAC3-D01397444840}"/>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'[13]1'!$N$43:$N$59</c:f>
              <c:numCache>
                <c:formatCode>General</c:formatCode>
                <c:ptCount val="17"/>
                <c:pt idx="0">
                  <c:v>105</c:v>
                </c:pt>
                <c:pt idx="1">
                  <c:v>105</c:v>
                </c:pt>
                <c:pt idx="2">
                  <c:v>105</c:v>
                </c:pt>
                <c:pt idx="3">
                  <c:v>105</c:v>
                </c:pt>
                <c:pt idx="4">
                  <c:v>105</c:v>
                </c:pt>
                <c:pt idx="5">
                  <c:v>105</c:v>
                </c:pt>
                <c:pt idx="6">
                  <c:v>105</c:v>
                </c:pt>
                <c:pt idx="7">
                  <c:v>105</c:v>
                </c:pt>
                <c:pt idx="8">
                  <c:v>101</c:v>
                </c:pt>
                <c:pt idx="9">
                  <c:v>78</c:v>
                </c:pt>
                <c:pt idx="10">
                  <c:v>53</c:v>
                </c:pt>
                <c:pt idx="11">
                  <c:v>45</c:v>
                </c:pt>
                <c:pt idx="12">
                  <c:v>36</c:v>
                </c:pt>
                <c:pt idx="13">
                  <c:v>15.000000000000002</c:v>
                </c:pt>
                <c:pt idx="14">
                  <c:v>6.0000000000000009</c:v>
                </c:pt>
                <c:pt idx="15">
                  <c:v>6.0000000000000009</c:v>
                </c:pt>
                <c:pt idx="16">
                  <c:v>5</c:v>
                </c:pt>
              </c:numCache>
            </c:numRef>
          </c:val>
          <c:smooth val="0"/>
          <c:extLst>
            <c:ext xmlns:c16="http://schemas.microsoft.com/office/drawing/2014/chart" uri="{C3380CC4-5D6E-409C-BE32-E72D297353CC}">
              <c16:uniqueId val="{00000002-8A83-45C3-BAC3-D01397444840}"/>
            </c:ext>
          </c:extLst>
        </c:ser>
        <c:dLbls>
          <c:showLegendKey val="0"/>
          <c:showVal val="0"/>
          <c:showCatName val="0"/>
          <c:showSerName val="0"/>
          <c:showPercent val="0"/>
          <c:showBubbleSize val="0"/>
        </c:dLbls>
        <c:marker val="1"/>
        <c:smooth val="0"/>
        <c:axId val="772097488"/>
        <c:axId val="772105808"/>
      </c:lineChart>
      <c:catAx>
        <c:axId val="772097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72105808"/>
        <c:crosses val="autoZero"/>
        <c:auto val="1"/>
        <c:lblAlgn val="ctr"/>
        <c:lblOffset val="100"/>
        <c:noMultiLvlLbl val="0"/>
      </c:catAx>
      <c:valAx>
        <c:axId val="772105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720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manualLayout>
          <c:layoutTarget val="inner"/>
          <c:xMode val="edge"/>
          <c:yMode val="edge"/>
          <c:x val="0.1024838145231846"/>
          <c:y val="0.17515711577719451"/>
          <c:w val="0.85862729658792647"/>
          <c:h val="0.64003608923884514"/>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'[13]1'!$L$43:$L$59</c:f>
              <c:numCache>
                <c:formatCode>General</c:formatCode>
                <c:ptCount val="17"/>
                <c:pt idx="0">
                  <c:v>100</c:v>
                </c:pt>
                <c:pt idx="1">
                  <c:v>100</c:v>
                </c:pt>
                <c:pt idx="2">
                  <c:v>100</c:v>
                </c:pt>
                <c:pt idx="3">
                  <c:v>100</c:v>
                </c:pt>
                <c:pt idx="4">
                  <c:v>100</c:v>
                </c:pt>
                <c:pt idx="5">
                  <c:v>100</c:v>
                </c:pt>
                <c:pt idx="6">
                  <c:v>100</c:v>
                </c:pt>
                <c:pt idx="7">
                  <c:v>100</c:v>
                </c:pt>
                <c:pt idx="8">
                  <c:v>95.41</c:v>
                </c:pt>
                <c:pt idx="9">
                  <c:v>75.522000000000006</c:v>
                </c:pt>
                <c:pt idx="10">
                  <c:v>45.22</c:v>
                </c:pt>
                <c:pt idx="11">
                  <c:v>36.809999999999995</c:v>
                </c:pt>
                <c:pt idx="12">
                  <c:v>28.021000000000001</c:v>
                </c:pt>
                <c:pt idx="13">
                  <c:v>6.9510000000000005</c:v>
                </c:pt>
                <c:pt idx="14">
                  <c:v>2.5410000000000004</c:v>
                </c:pt>
                <c:pt idx="15">
                  <c:v>1.4140000000000001</c:v>
                </c:pt>
                <c:pt idx="16">
                  <c:v>0</c:v>
                </c:pt>
              </c:numCache>
            </c:numRef>
          </c:val>
          <c:smooth val="0"/>
          <c:extLst>
            <c:ext xmlns:c16="http://schemas.microsoft.com/office/drawing/2014/chart" uri="{C3380CC4-5D6E-409C-BE32-E72D297353CC}">
              <c16:uniqueId val="{00000000-4A1F-475C-83C7-A3D12309A4A8}"/>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'[13]1'!$M$43:$M$59</c:f>
              <c:numCache>
                <c:formatCode>General</c:formatCode>
                <c:ptCount val="17"/>
                <c:pt idx="0">
                  <c:v>95</c:v>
                </c:pt>
                <c:pt idx="1">
                  <c:v>95</c:v>
                </c:pt>
                <c:pt idx="2">
                  <c:v>95</c:v>
                </c:pt>
                <c:pt idx="3">
                  <c:v>95</c:v>
                </c:pt>
                <c:pt idx="4">
                  <c:v>95</c:v>
                </c:pt>
                <c:pt idx="5">
                  <c:v>95</c:v>
                </c:pt>
                <c:pt idx="6">
                  <c:v>95</c:v>
                </c:pt>
                <c:pt idx="7">
                  <c:v>95</c:v>
                </c:pt>
                <c:pt idx="8">
                  <c:v>90.999999999999986</c:v>
                </c:pt>
                <c:pt idx="9">
                  <c:v>68</c:v>
                </c:pt>
                <c:pt idx="10">
                  <c:v>43</c:v>
                </c:pt>
                <c:pt idx="11">
                  <c:v>35</c:v>
                </c:pt>
                <c:pt idx="12">
                  <c:v>26</c:v>
                </c:pt>
                <c:pt idx="13">
                  <c:v>5</c:v>
                </c:pt>
                <c:pt idx="14">
                  <c:v>-4</c:v>
                </c:pt>
                <c:pt idx="15">
                  <c:v>-4</c:v>
                </c:pt>
                <c:pt idx="16">
                  <c:v>-5</c:v>
                </c:pt>
              </c:numCache>
            </c:numRef>
          </c:val>
          <c:smooth val="0"/>
          <c:extLst>
            <c:ext xmlns:c16="http://schemas.microsoft.com/office/drawing/2014/chart" uri="{C3380CC4-5D6E-409C-BE32-E72D297353CC}">
              <c16:uniqueId val="{00000001-4A1F-475C-83C7-A3D12309A4A8}"/>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'[13]1'!$K$43:$K$59</c:f>
              <c:strCache>
                <c:ptCount val="17"/>
                <c:pt idx="0">
                  <c:v>40</c:v>
                </c:pt>
                <c:pt idx="1">
                  <c:v>31,5</c:v>
                </c:pt>
                <c:pt idx="2">
                  <c:v>20</c:v>
                </c:pt>
                <c:pt idx="3">
                  <c:v>16</c:v>
                </c:pt>
                <c:pt idx="4">
                  <c:v>14</c:v>
                </c:pt>
                <c:pt idx="5">
                  <c:v>12,5</c:v>
                </c:pt>
                <c:pt idx="6">
                  <c:v>10</c:v>
                </c:pt>
                <c:pt idx="7">
                  <c:v>8</c:v>
                </c:pt>
                <c:pt idx="8">
                  <c:v>6,3</c:v>
                </c:pt>
                <c:pt idx="9">
                  <c:v>4</c:v>
                </c:pt>
                <c:pt idx="10">
                  <c:v>2</c:v>
                </c:pt>
                <c:pt idx="11">
                  <c:v>1</c:v>
                </c:pt>
                <c:pt idx="12">
                  <c:v>0,5</c:v>
                </c:pt>
                <c:pt idx="13">
                  <c:v>0,25</c:v>
                </c:pt>
                <c:pt idx="14">
                  <c:v>0,125</c:v>
                </c:pt>
                <c:pt idx="15">
                  <c:v>0,063</c:v>
                </c:pt>
                <c:pt idx="16">
                  <c:v>Bodem</c:v>
                </c:pt>
              </c:strCache>
            </c:strRef>
          </c:cat>
          <c:val>
            <c:numRef>
              <c:f>'[13]1'!$N$43:$N$59</c:f>
              <c:numCache>
                <c:formatCode>General</c:formatCode>
                <c:ptCount val="17"/>
                <c:pt idx="0">
                  <c:v>105</c:v>
                </c:pt>
                <c:pt idx="1">
                  <c:v>105</c:v>
                </c:pt>
                <c:pt idx="2">
                  <c:v>105</c:v>
                </c:pt>
                <c:pt idx="3">
                  <c:v>105</c:v>
                </c:pt>
                <c:pt idx="4">
                  <c:v>105</c:v>
                </c:pt>
                <c:pt idx="5">
                  <c:v>105</c:v>
                </c:pt>
                <c:pt idx="6">
                  <c:v>105</c:v>
                </c:pt>
                <c:pt idx="7">
                  <c:v>105</c:v>
                </c:pt>
                <c:pt idx="8">
                  <c:v>101</c:v>
                </c:pt>
                <c:pt idx="9">
                  <c:v>78</c:v>
                </c:pt>
                <c:pt idx="10">
                  <c:v>53</c:v>
                </c:pt>
                <c:pt idx="11">
                  <c:v>45</c:v>
                </c:pt>
                <c:pt idx="12">
                  <c:v>36</c:v>
                </c:pt>
                <c:pt idx="13">
                  <c:v>15.000000000000002</c:v>
                </c:pt>
                <c:pt idx="14">
                  <c:v>6.0000000000000009</c:v>
                </c:pt>
                <c:pt idx="15">
                  <c:v>6.0000000000000009</c:v>
                </c:pt>
                <c:pt idx="16">
                  <c:v>5</c:v>
                </c:pt>
              </c:numCache>
            </c:numRef>
          </c:val>
          <c:smooth val="0"/>
          <c:extLst>
            <c:ext xmlns:c16="http://schemas.microsoft.com/office/drawing/2014/chart" uri="{C3380CC4-5D6E-409C-BE32-E72D297353CC}">
              <c16:uniqueId val="{00000002-4A1F-475C-83C7-A3D12309A4A8}"/>
            </c:ext>
          </c:extLst>
        </c:ser>
        <c:dLbls>
          <c:showLegendKey val="0"/>
          <c:showVal val="0"/>
          <c:showCatName val="0"/>
          <c:showSerName val="0"/>
          <c:showPercent val="0"/>
          <c:showBubbleSize val="0"/>
        </c:dLbls>
        <c:marker val="1"/>
        <c:smooth val="0"/>
        <c:axId val="772097488"/>
        <c:axId val="772105808"/>
      </c:lineChart>
      <c:catAx>
        <c:axId val="772097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72105808"/>
        <c:crosses val="autoZero"/>
        <c:auto val="1"/>
        <c:lblAlgn val="ctr"/>
        <c:lblOffset val="100"/>
        <c:noMultiLvlLbl val="0"/>
      </c:catAx>
      <c:valAx>
        <c:axId val="772105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720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2809875</xdr:colOff>
      <xdr:row>68</xdr:row>
      <xdr:rowOff>119063</xdr:rowOff>
    </xdr:from>
    <xdr:to>
      <xdr:col>17</xdr:col>
      <xdr:colOff>619124</xdr:colOff>
      <xdr:row>102</xdr:row>
      <xdr:rowOff>71437</xdr:rowOff>
    </xdr:to>
    <xdr:graphicFrame macro="">
      <xdr:nvGraphicFramePr>
        <xdr:cNvPr id="2" name="Grafiek 1">
          <a:extLst>
            <a:ext uri="{FF2B5EF4-FFF2-40B4-BE49-F238E27FC236}">
              <a16:creationId xmlns:a16="http://schemas.microsoft.com/office/drawing/2014/main" id="{3D7CB3B4-1DF3-436D-9072-CC61A8CA5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2809875</xdr:colOff>
      <xdr:row>68</xdr:row>
      <xdr:rowOff>119063</xdr:rowOff>
    </xdr:from>
    <xdr:to>
      <xdr:col>17</xdr:col>
      <xdr:colOff>619124</xdr:colOff>
      <xdr:row>102</xdr:row>
      <xdr:rowOff>71437</xdr:rowOff>
    </xdr:to>
    <xdr:graphicFrame macro="">
      <xdr:nvGraphicFramePr>
        <xdr:cNvPr id="3" name="Grafiek 2">
          <a:extLst>
            <a:ext uri="{FF2B5EF4-FFF2-40B4-BE49-F238E27FC236}">
              <a16:creationId xmlns:a16="http://schemas.microsoft.com/office/drawing/2014/main" id="{3A8316AF-EF11-463F-9209-FD871BAA6A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2809875</xdr:colOff>
      <xdr:row>68</xdr:row>
      <xdr:rowOff>119063</xdr:rowOff>
    </xdr:from>
    <xdr:to>
      <xdr:col>17</xdr:col>
      <xdr:colOff>619124</xdr:colOff>
      <xdr:row>102</xdr:row>
      <xdr:rowOff>71437</xdr:rowOff>
    </xdr:to>
    <xdr:graphicFrame macro="">
      <xdr:nvGraphicFramePr>
        <xdr:cNvPr id="4" name="Grafiek 3">
          <a:extLst>
            <a:ext uri="{FF2B5EF4-FFF2-40B4-BE49-F238E27FC236}">
              <a16:creationId xmlns:a16="http://schemas.microsoft.com/office/drawing/2014/main" id="{3F261AC9-151B-414B-A406-53B04F5E96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tbetonnet-my.sharepoint.com/personal/steven_stbeton_net/Documents/Bureaublad/Technische%20fiche's%20beton/TF%20BETON.xlsx" TargetMode="External"/><Relationship Id="rId1" Type="http://schemas.openxmlformats.org/officeDocument/2006/relationships/externalLinkPath" Target="Technische%20fiche's%20beton/TF%20BETO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mbeton-my.sharepoint.com/Users/Gebruiker/Documents/RTS%20Betoncentrale%20(RTS)/BMZ%20-%20Analyse%20mengpuin%200-40%20-%202013093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bmbeton-my.sharepoint.com/Users/bertmaes/Desktop/BM%20BETON/De%20Smedt%20Beton%20(DSB)/E:/manuel/02%20Processus%20Gestion%20des%20Compositions/Annexe%202.1%20B&#233;tons%20Benor%20CEN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Users\bertmaes\Desktop\C:\Users\Gebruiker\Documents\Prefaxis%20(PRE)\Registraties\Druksterkte\PRE%20-%20Druksterkte%20volgens%20NF%20-%2071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BENOR/mengselcatalogus/BENOR/mengselcatalogus/STb&#61474;D13-D14%20-%20Receptontwerp%20-%20Mengselcatalogus%20(version%20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steven.steelandt/Desktop/eigen%20mengsel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tbetonnet-my.sharepoint.com/personal/steven_stbeton_net/Documents/Bureaublad/Diversen/LAB-SOFT%20-%20V2021.1.xlsm" TargetMode="External"/><Relationship Id="rId1" Type="http://schemas.openxmlformats.org/officeDocument/2006/relationships/externalLinkPath" Target="Diversen/LAB-SOFT%20-%20V2021.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mbeton-my.sharepoint.com/Users/Gebruiker/Desktop/Eloy%20Beton%20(EB)/ZZZZZZZZZZZZZZZZZZ/A30EE2S3C16KR2-IC-BERCER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mbeton-my.sharepoint.com/Users/Gebruiker/Desktop/Eloy%20Beton%20(EB)/Archief/A37EA2S3C16KIMP.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stbetonnet-my.sharepoint.com/personal/steven_stbeton_net/Documents/Bureaublad/BENOR/mengselcatalogus/STb.D13-D14%20-%20Receptontwerp%20-%20Mengselcatalogus%20wegenis-uitwas.xlsx" TargetMode="External"/><Relationship Id="rId1" Type="http://schemas.openxmlformats.org/officeDocument/2006/relationships/externalLinkPath" Target="BENOR/mengselcatalogus/STb.D13-D14%20-%20Receptontwerp%20-%20Mengselcatalogus%20wegenis-uitwa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SECO/CRIC/BETON/Betoncentrales/Controle%20protocol_v5.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bmbeton-my.sharepoint.com/Users/rlegaz/Desktop/Programe%20en%20attente/Prix%20des%20recett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bmbeton-my.sharepoint.com/Zandlabo%20Gent/Nieuwe%20AFNO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mbeton-my.sharepoint.com/Users/bertmaes/Desktop/BM%20BETON/De%20Smedt%20Beton%20(DSB)/C:/Users/Gebruiker/Documents/B-Mix%20Zolder%20(BMZ)/Registraties/QUAREA/BMZ%20-%20Analyse%20zeefzand%20-%202013093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EL"/>
      <sheetName val="TF TRA50"/>
      <sheetName val="TF TRA550"/>
    </sheetNames>
    <sheetDataSet>
      <sheetData sheetId="0">
        <row r="3">
          <cell r="A3"/>
          <cell r="B3"/>
          <cell r="C3"/>
          <cell r="F3"/>
          <cell r="H3"/>
          <cell r="J3"/>
          <cell r="L3"/>
          <cell r="N3"/>
          <cell r="P3"/>
          <cell r="V3"/>
          <cell r="W3"/>
          <cell r="X3"/>
          <cell r="AA3"/>
          <cell r="AB3"/>
        </row>
        <row r="4">
          <cell r="A4">
            <v>10005</v>
          </cell>
          <cell r="B4">
            <v>1</v>
          </cell>
          <cell r="C4">
            <v>44826</v>
          </cell>
          <cell r="F4" t="str">
            <v>42.5 MPa</v>
          </cell>
          <cell r="H4" t="str">
            <v>OB</v>
          </cell>
          <cell r="J4"/>
          <cell r="L4" t="str">
            <v>CC40</v>
          </cell>
          <cell r="N4" t="str">
            <v>20 mm</v>
          </cell>
          <cell r="P4" t="str">
            <v>kalksteen</v>
          </cell>
          <cell r="V4" t="str">
            <v>WC50 C350 LA/CC40 A4/CS35 FT3,0 WA6,4/VL</v>
          </cell>
          <cell r="W4">
            <v>350</v>
          </cell>
          <cell r="X4">
            <v>0.5</v>
          </cell>
          <cell r="AA4">
            <v>0.04</v>
          </cell>
          <cell r="AB4" t="str">
            <v>Wm,min 42,5 MPa op kernen na 90 dagen</v>
          </cell>
        </row>
        <row r="5">
          <cell r="A5">
            <v>10020</v>
          </cell>
          <cell r="B5">
            <v>1</v>
          </cell>
          <cell r="C5">
            <v>44823</v>
          </cell>
          <cell r="F5" t="str">
            <v>55 Mpa</v>
          </cell>
          <cell r="H5" t="str">
            <v>OB</v>
          </cell>
          <cell r="J5"/>
          <cell r="L5" t="str">
            <v>CC150</v>
          </cell>
          <cell r="N5" t="str">
            <v>20 mm</v>
          </cell>
          <cell r="P5" t="str">
            <v>Porfier</v>
          </cell>
          <cell r="V5" t="str">
            <v>Wegenbeton UFT 55 Mpa  OB CC150  20 mm  Porfier (manueel-Bezemen)</v>
          </cell>
          <cell r="W5">
            <v>425</v>
          </cell>
          <cell r="X5">
            <v>0.4</v>
          </cell>
          <cell r="AA5" t="str">
            <v>Nee</v>
          </cell>
          <cell r="AB5" t="str">
            <v>Met het oog op een vervroegde ingebruikneming wordt de controle op de druksterkte uitgevoerd op een ouderdom van 36 uur op kubussen met zijde 150 mm.  De vereiste gemiddelde druksterkte (Mpa) op 3 kubussen dient 35 Mpa te bereiken.</v>
          </cell>
        </row>
        <row r="6">
          <cell r="A6">
            <v>10021</v>
          </cell>
          <cell r="B6">
            <v>1</v>
          </cell>
          <cell r="C6">
            <v>44822</v>
          </cell>
          <cell r="F6" t="str">
            <v>52.5 MPa</v>
          </cell>
          <cell r="H6" t="str">
            <v>OB</v>
          </cell>
          <cell r="J6"/>
          <cell r="L6" t="str">
            <v>CC150</v>
          </cell>
          <cell r="N6" t="str">
            <v>16 mm</v>
          </cell>
          <cell r="P6" t="str">
            <v>Grind</v>
          </cell>
          <cell r="V6" t="str">
            <v>Wegenbeton 52.5 MPa  OB CC150  16 mm  Grind (manueel-uitwassen)</v>
          </cell>
          <cell r="W6">
            <v>375</v>
          </cell>
          <cell r="X6">
            <v>0.5</v>
          </cell>
          <cell r="AA6">
            <v>0.04</v>
          </cell>
          <cell r="AB6" t="str">
            <v>Nee</v>
          </cell>
        </row>
        <row r="7">
          <cell r="A7">
            <v>10030</v>
          </cell>
          <cell r="B7">
            <v>1</v>
          </cell>
          <cell r="C7">
            <v>44851</v>
          </cell>
          <cell r="F7" t="str">
            <v>62.5 MPa</v>
          </cell>
          <cell r="H7" t="str">
            <v>OB</v>
          </cell>
          <cell r="J7"/>
          <cell r="L7" t="str">
            <v>CC60</v>
          </cell>
          <cell r="N7" t="str">
            <v>20 mm</v>
          </cell>
          <cell r="P7" t="str">
            <v>Grind</v>
          </cell>
          <cell r="V7" t="str">
            <v>Wegenbeton 62.5 MPa  OB CC60  20 mm  Grind (machinaal-uitwassen)</v>
          </cell>
          <cell r="W7">
            <v>400</v>
          </cell>
          <cell r="X7">
            <v>0.45</v>
          </cell>
          <cell r="AA7">
            <v>0.03</v>
          </cell>
          <cell r="AB7" t="str">
            <v>Wm,min 62,5 MPa op kernen na 90 dagen</v>
          </cell>
        </row>
        <row r="8">
          <cell r="A8">
            <v>10001</v>
          </cell>
          <cell r="B8">
            <v>1</v>
          </cell>
          <cell r="C8">
            <v>44911</v>
          </cell>
          <cell r="F8" t="str">
            <v>52.5 MPa</v>
          </cell>
          <cell r="H8" t="str">
            <v>OB</v>
          </cell>
          <cell r="J8" t="str">
            <v>EE4 A</v>
          </cell>
          <cell r="L8" t="str">
            <v>CC60</v>
          </cell>
          <cell r="N8" t="str">
            <v>20 mm</v>
          </cell>
          <cell r="P8" t="str">
            <v>Porfier</v>
          </cell>
          <cell r="V8" t="str">
            <v>WC50 C375 LA/CC60 A3/CS40 F5,0 FT3,0 WA6,3/VL   Bezemen</v>
          </cell>
          <cell r="W8">
            <v>375</v>
          </cell>
          <cell r="X8">
            <v>0.5</v>
          </cell>
          <cell r="AA8">
            <v>0.03</v>
          </cell>
          <cell r="AB8" t="str">
            <v>Wm,min 52,5 MPa op kernen na 90 dagen</v>
          </cell>
        </row>
        <row r="9">
          <cell r="A9">
            <v>10011</v>
          </cell>
          <cell r="B9">
            <v>1</v>
          </cell>
          <cell r="C9">
            <v>45055</v>
          </cell>
          <cell r="F9" t="str">
            <v>52.5 MPa</v>
          </cell>
          <cell r="H9" t="str">
            <v>OB</v>
          </cell>
          <cell r="J9" t="str">
            <v>EE4 A</v>
          </cell>
          <cell r="L9" t="str">
            <v>CC60</v>
          </cell>
          <cell r="N9" t="str">
            <v>20 mm</v>
          </cell>
          <cell r="P9" t="str">
            <v>Porfier</v>
          </cell>
          <cell r="V9" t="str">
            <v>WC50 C375 LA/CC60 A3/CS40 F5,0 FT3,0 WA6,3/VL   Uitwassen</v>
          </cell>
          <cell r="W9">
            <v>375</v>
          </cell>
          <cell r="X9">
            <v>0.5</v>
          </cell>
          <cell r="AA9">
            <v>0.03</v>
          </cell>
          <cell r="AB9" t="str">
            <v>Wm,min 52,5 MPa op kernen na 90 dagen</v>
          </cell>
        </row>
        <row r="10">
          <cell r="A10">
            <v>10010</v>
          </cell>
          <cell r="B10">
            <v>1</v>
          </cell>
          <cell r="C10">
            <v>45055</v>
          </cell>
          <cell r="F10" t="str">
            <v>52.5 MPa</v>
          </cell>
          <cell r="H10" t="str">
            <v>OB</v>
          </cell>
          <cell r="J10" t="str">
            <v>EE4 A</v>
          </cell>
          <cell r="L10" t="str">
            <v>CC150</v>
          </cell>
          <cell r="N10" t="str">
            <v>20 mm</v>
          </cell>
          <cell r="P10" t="str">
            <v>Porfier</v>
          </cell>
          <cell r="V10" t="str">
            <v>WC50 C375 LA/CC150 A3/CS40 F5,0 FT3,0 WA6,3/VL Uitwassen</v>
          </cell>
          <cell r="W10">
            <v>375</v>
          </cell>
          <cell r="X10">
            <v>0.5</v>
          </cell>
          <cell r="AA10">
            <v>0.03</v>
          </cell>
          <cell r="AB10" t="str">
            <v>Wm,min 52,5 MPa op kernen na 90 dagen</v>
          </cell>
        </row>
        <row r="11">
          <cell r="A11">
            <v>10006</v>
          </cell>
          <cell r="B11">
            <v>1</v>
          </cell>
          <cell r="C11">
            <v>44577</v>
          </cell>
          <cell r="F11" t="str">
            <v>62.5 MPa</v>
          </cell>
          <cell r="H11" t="str">
            <v>OB</v>
          </cell>
          <cell r="J11" t="str">
            <v>EE4 A</v>
          </cell>
          <cell r="L11" t="str">
            <v>CC60</v>
          </cell>
          <cell r="N11" t="str">
            <v>20 mm</v>
          </cell>
          <cell r="P11" t="str">
            <v>Porfier</v>
          </cell>
          <cell r="V11" t="str">
            <v>WC45 C400 LA / CC60 A3 / CS50 F6,0 FT1,5 WA6,3 / VL - uitwassen</v>
          </cell>
          <cell r="W11">
            <v>400</v>
          </cell>
          <cell r="X11">
            <v>0.45</v>
          </cell>
          <cell r="AA11">
            <v>0.03</v>
          </cell>
          <cell r="AB11" t="str">
            <v>Wm,min 62,5 MPa op kernen na 90 dagen</v>
          </cell>
        </row>
        <row r="12">
          <cell r="A12">
            <v>10007</v>
          </cell>
          <cell r="B12">
            <v>1</v>
          </cell>
          <cell r="C12">
            <v>44577</v>
          </cell>
          <cell r="F12" t="str">
            <v>62.5 MPa</v>
          </cell>
          <cell r="H12" t="str">
            <v>OB</v>
          </cell>
          <cell r="J12" t="str">
            <v>EE4 A</v>
          </cell>
          <cell r="L12" t="str">
            <v>CC150</v>
          </cell>
          <cell r="N12" t="str">
            <v>20 mm</v>
          </cell>
          <cell r="P12" t="str">
            <v>Porfier</v>
          </cell>
          <cell r="V12" t="str">
            <v>WC45 C400 LA / CC150 A3 / CS50 F6,0 FT1,5 WA6,3 / VL - Uitwassen</v>
          </cell>
          <cell r="W12">
            <v>400</v>
          </cell>
          <cell r="X12">
            <v>0.45</v>
          </cell>
          <cell r="AA12">
            <v>0.03</v>
          </cell>
          <cell r="AB12" t="str">
            <v>Wm,min 62,5 MPa op kernen na 90 dagen</v>
          </cell>
        </row>
        <row r="13">
          <cell r="A13">
            <v>10008</v>
          </cell>
          <cell r="B13">
            <v>1</v>
          </cell>
          <cell r="C13">
            <v>44951</v>
          </cell>
          <cell r="F13" t="str">
            <v>60 MPa</v>
          </cell>
          <cell r="H13" t="str">
            <v>OB</v>
          </cell>
          <cell r="J13" t="str">
            <v>EE4 A</v>
          </cell>
          <cell r="L13" t="str">
            <v>CC150</v>
          </cell>
          <cell r="N13" t="str">
            <v>20 mm</v>
          </cell>
          <cell r="P13" t="str">
            <v>Porfier</v>
          </cell>
          <cell r="V13" t="str">
            <v>Wegenbeton 60 MPa  OB EE4 A CC150  20 mm  Porfier (manueel-Bezemen)</v>
          </cell>
          <cell r="W13">
            <v>375</v>
          </cell>
          <cell r="X13">
            <v>0.45</v>
          </cell>
          <cell r="AA13" t="str">
            <v>Nee</v>
          </cell>
          <cell r="AB13" t="str">
            <v>Wm,min 60 MPa op kernen na 90 dagen</v>
          </cell>
        </row>
        <row r="14">
          <cell r="A14">
            <v>10004</v>
          </cell>
          <cell r="B14">
            <v>1</v>
          </cell>
          <cell r="C14">
            <v>45055</v>
          </cell>
          <cell r="F14" t="str">
            <v>52.5 MPa</v>
          </cell>
          <cell r="H14" t="str">
            <v>OB</v>
          </cell>
          <cell r="J14" t="str">
            <v>EE4 A</v>
          </cell>
          <cell r="L14" t="str">
            <v>CC150</v>
          </cell>
          <cell r="N14" t="str">
            <v>20 mm</v>
          </cell>
          <cell r="P14" t="str">
            <v>kalksteen</v>
          </cell>
          <cell r="V14" t="str">
            <v>WC50 C375 LA / CC150 A3 / CS40 F5,0 FT3,0 WA6,3 / VL - Bezemen</v>
          </cell>
          <cell r="W14">
            <v>375</v>
          </cell>
          <cell r="X14">
            <v>0.5</v>
          </cell>
          <cell r="AA14">
            <v>0.03</v>
          </cell>
          <cell r="AB14" t="str">
            <v>Wm,min 52,5 MPa op kernen na 90 dagen</v>
          </cell>
        </row>
        <row r="15">
          <cell r="A15">
            <v>10012</v>
          </cell>
          <cell r="B15">
            <v>1</v>
          </cell>
          <cell r="C15">
            <v>44586</v>
          </cell>
          <cell r="F15" t="str">
            <v>52.5 MPa</v>
          </cell>
          <cell r="H15" t="str">
            <v>OB</v>
          </cell>
          <cell r="J15" t="str">
            <v>EE4 A</v>
          </cell>
          <cell r="L15" t="str">
            <v>CC150</v>
          </cell>
          <cell r="N15" t="str">
            <v>20 mm</v>
          </cell>
          <cell r="P15" t="str">
            <v>Porfier</v>
          </cell>
          <cell r="V15" t="str">
            <v>WC50 C375 LA/CC150 A3/CS40 F5,0 FT3,0 WA6,3/VL    Bezemen</v>
          </cell>
          <cell r="W15">
            <v>375</v>
          </cell>
          <cell r="X15">
            <v>0.5</v>
          </cell>
          <cell r="AA15">
            <v>0.03</v>
          </cell>
          <cell r="AB15" t="str">
            <v>Wm,min 52,5 MPa op kernen na 90 dagen</v>
          </cell>
        </row>
        <row r="16">
          <cell r="A16">
            <v>10003</v>
          </cell>
          <cell r="B16">
            <v>1</v>
          </cell>
          <cell r="C16">
            <v>44953</v>
          </cell>
          <cell r="F16" t="str">
            <v>52.5 MPa</v>
          </cell>
          <cell r="H16" t="str">
            <v>OB</v>
          </cell>
          <cell r="J16" t="str">
            <v>EE4 A</v>
          </cell>
          <cell r="L16" t="str">
            <v>CC60</v>
          </cell>
          <cell r="N16" t="str">
            <v>20 mm</v>
          </cell>
          <cell r="P16" t="str">
            <v>kalksteen</v>
          </cell>
          <cell r="V16" t="str">
            <v>WC50 C375 LA / CC60 A3 / CS40 F5,0 FT3,0 WA6,3 / VL - Bezemen</v>
          </cell>
          <cell r="W16">
            <v>375</v>
          </cell>
          <cell r="X16">
            <v>0.5</v>
          </cell>
          <cell r="AA16">
            <v>0.03</v>
          </cell>
          <cell r="AB16" t="str">
            <v>Wm,min 52,5 MPa op kernen na 90 dagen</v>
          </cell>
        </row>
        <row r="17">
          <cell r="A17" t="str">
            <v>15(3)</v>
          </cell>
          <cell r="B17">
            <v>1</v>
          </cell>
          <cell r="C17">
            <v>44959</v>
          </cell>
          <cell r="F17" t="str">
            <v>C20/25</v>
          </cell>
          <cell r="H17" t="str">
            <v>GB</v>
          </cell>
          <cell r="J17" t="str">
            <v>EE1</v>
          </cell>
          <cell r="L17" t="str">
            <v>S4</v>
          </cell>
          <cell r="N17" t="str">
            <v>20 mm</v>
          </cell>
          <cell r="P17" t="str">
            <v>kalksteen</v>
          </cell>
          <cell r="V17" t="str">
            <v>Constructiebeton C20/25  GB EE1 S4  20 mm  kalksteen (manueel-Constructie)</v>
          </cell>
          <cell r="W17">
            <v>280</v>
          </cell>
          <cell r="X17">
            <v>0.6</v>
          </cell>
          <cell r="AA17" t="str">
            <v>Nee</v>
          </cell>
          <cell r="AB17" t="str">
            <v>HSR-LA Cement</v>
          </cell>
        </row>
        <row r="18">
          <cell r="A18">
            <v>10097</v>
          </cell>
          <cell r="B18">
            <v>1</v>
          </cell>
          <cell r="C18">
            <v>44963</v>
          </cell>
          <cell r="F18" t="str">
            <v>62.5 MPa</v>
          </cell>
          <cell r="H18" t="str">
            <v>OB</v>
          </cell>
          <cell r="J18" t="str">
            <v>EE4 A</v>
          </cell>
          <cell r="L18" t="str">
            <v>CC60</v>
          </cell>
          <cell r="N18" t="str">
            <v>20 mm</v>
          </cell>
          <cell r="P18" t="str">
            <v>uitwas</v>
          </cell>
          <cell r="V18" t="str">
            <v>Wegenbeton 62.5 MPa  OB EE4 A CC60  20 mm  uitwas (machinaal-uitwassen)</v>
          </cell>
          <cell r="W18">
            <v>400</v>
          </cell>
          <cell r="X18">
            <v>0.45</v>
          </cell>
          <cell r="AA18">
            <v>0.04</v>
          </cell>
          <cell r="AB18" t="str">
            <v>Wm,min 62,5 MPa op kernen na 90 dagen</v>
          </cell>
        </row>
        <row r="19">
          <cell r="A19" t="str">
            <v>10097'</v>
          </cell>
          <cell r="B19">
            <v>1</v>
          </cell>
          <cell r="C19">
            <v>44963</v>
          </cell>
          <cell r="F19" t="str">
            <v>62.5 MPa</v>
          </cell>
          <cell r="H19" t="str">
            <v>OB</v>
          </cell>
          <cell r="J19" t="str">
            <v>EE4 A</v>
          </cell>
          <cell r="L19" t="str">
            <v>CC150</v>
          </cell>
          <cell r="N19" t="str">
            <v>20 mm</v>
          </cell>
          <cell r="P19" t="str">
            <v>uitwas</v>
          </cell>
          <cell r="V19" t="str">
            <v>Wegenbeton 62.5 MPa  OB EE4 A CC150  20 mm  uitwas (manueel-uitwassen)</v>
          </cell>
          <cell r="W19">
            <v>400</v>
          </cell>
          <cell r="X19">
            <v>0.45</v>
          </cell>
          <cell r="AA19">
            <v>0.04</v>
          </cell>
          <cell r="AB19" t="str">
            <v>Wm,min 62,5 MPa op kernen na 90 dagen</v>
          </cell>
        </row>
        <row r="20">
          <cell r="A20">
            <v>10023</v>
          </cell>
          <cell r="B20">
            <v>1</v>
          </cell>
          <cell r="C20">
            <v>44971</v>
          </cell>
          <cell r="F20" t="str">
            <v>52.5 MPa</v>
          </cell>
          <cell r="H20" t="str">
            <v>OB</v>
          </cell>
          <cell r="J20" t="str">
            <v>EE4 A</v>
          </cell>
          <cell r="L20" t="str">
            <v>CC60</v>
          </cell>
          <cell r="N20" t="str">
            <v>20 mm</v>
          </cell>
          <cell r="P20" t="str">
            <v>Kwarts-Porfier</v>
          </cell>
          <cell r="V20" t="str">
            <v>Wegenbeton 52.5 MPa  OB EE4 A CC60  20 mm  Kwarts-Porfier (machinaal-uitwassen)</v>
          </cell>
          <cell r="W20">
            <v>375</v>
          </cell>
          <cell r="X20">
            <v>0.5</v>
          </cell>
          <cell r="AA20">
            <v>0.03</v>
          </cell>
          <cell r="AB20" t="str">
            <v>Wm,min 52,5 MPa op kernen na 90 dagen</v>
          </cell>
        </row>
        <row r="21">
          <cell r="A21">
            <v>10024</v>
          </cell>
          <cell r="B21">
            <v>1</v>
          </cell>
          <cell r="C21">
            <v>44971</v>
          </cell>
          <cell r="F21" t="str">
            <v>52.5 MPa</v>
          </cell>
          <cell r="H21" t="str">
            <v>OB</v>
          </cell>
          <cell r="J21" t="str">
            <v>EE4 A</v>
          </cell>
          <cell r="L21" t="str">
            <v>CC150</v>
          </cell>
          <cell r="N21" t="str">
            <v>20 mm</v>
          </cell>
          <cell r="P21" t="str">
            <v>Kwarts-Porfier</v>
          </cell>
          <cell r="V21" t="str">
            <v>Wegenbeton 52.5 MPa  OB EE4 A CC150  20 mm  Kwarts-Porfier (manueel-uitwassen)</v>
          </cell>
          <cell r="W21">
            <v>375</v>
          </cell>
          <cell r="X21">
            <v>0.5</v>
          </cell>
          <cell r="AA21">
            <v>0.03</v>
          </cell>
          <cell r="AB21" t="str">
            <v>Wm,min 52,5 MPa op kernen na 90 dagen</v>
          </cell>
        </row>
        <row r="22">
          <cell r="A22">
            <v>10002</v>
          </cell>
          <cell r="B22">
            <v>1</v>
          </cell>
          <cell r="C22">
            <v>44979</v>
          </cell>
          <cell r="F22" t="str">
            <v>52.5 MPa</v>
          </cell>
          <cell r="H22" t="str">
            <v>OB</v>
          </cell>
          <cell r="J22" t="str">
            <v>EE4 A</v>
          </cell>
          <cell r="L22" t="str">
            <v>CC150</v>
          </cell>
          <cell r="N22" t="str">
            <v>20 mm</v>
          </cell>
          <cell r="P22" t="str">
            <v>Porfier</v>
          </cell>
          <cell r="V22" t="str">
            <v>WC50 C375 LA/CC150 A3/CS40 F5,0 FT3,0 WA6,3/VL   Bezemen</v>
          </cell>
          <cell r="W22">
            <v>375</v>
          </cell>
          <cell r="X22">
            <v>0.5</v>
          </cell>
          <cell r="AA22">
            <v>0.03</v>
          </cell>
          <cell r="AB22" t="str">
            <v>Wm,min 52,5 MPa op kernen na 90 dagen</v>
          </cell>
        </row>
        <row r="23">
          <cell r="A23">
            <v>10031</v>
          </cell>
          <cell r="B23">
            <v>1</v>
          </cell>
          <cell r="C23">
            <v>45041</v>
          </cell>
          <cell r="F23" t="str">
            <v>60 MPa</v>
          </cell>
          <cell r="H23" t="str">
            <v>OB</v>
          </cell>
          <cell r="J23" t="str">
            <v>EE4 EA3</v>
          </cell>
          <cell r="L23" t="str">
            <v>CC150</v>
          </cell>
          <cell r="N23" t="str">
            <v>20 mm</v>
          </cell>
          <cell r="P23" t="str">
            <v>Porfier</v>
          </cell>
          <cell r="V23" t="str">
            <v>Wegenbeton B6-B10(2) 60 MPa  OB EE4 EA3 CC150  20 mm  Porfier (manueel-Bezemen)</v>
          </cell>
          <cell r="W23">
            <v>375</v>
          </cell>
          <cell r="X23">
            <v>0.5</v>
          </cell>
          <cell r="AA23" t="str">
            <v>Nee</v>
          </cell>
          <cell r="AB23" t="str">
            <v>Wm,min 60 MPa op kernen na 90 dagen</v>
          </cell>
        </row>
        <row r="24">
          <cell r="A24"/>
          <cell r="B24"/>
          <cell r="C24"/>
          <cell r="F24"/>
          <cell r="H24"/>
          <cell r="J24"/>
          <cell r="L24"/>
          <cell r="N24"/>
          <cell r="P24"/>
          <cell r="V24" t="str">
            <v xml:space="preserve">        </v>
          </cell>
          <cell r="W24"/>
          <cell r="X24"/>
          <cell r="AA24"/>
          <cell r="AB24"/>
        </row>
        <row r="25">
          <cell r="A25"/>
          <cell r="B25"/>
          <cell r="C25"/>
          <cell r="F25"/>
          <cell r="H25"/>
          <cell r="J25"/>
          <cell r="L25"/>
          <cell r="N25"/>
          <cell r="P25"/>
          <cell r="V25" t="str">
            <v xml:space="preserve">        </v>
          </cell>
          <cell r="W25"/>
          <cell r="X25"/>
          <cell r="AA25"/>
          <cell r="AB25"/>
        </row>
        <row r="26">
          <cell r="A26"/>
          <cell r="B26"/>
          <cell r="C26"/>
          <cell r="F26"/>
          <cell r="H26"/>
          <cell r="J26"/>
          <cell r="L26"/>
          <cell r="N26"/>
          <cell r="P26"/>
          <cell r="V26" t="str">
            <v xml:space="preserve">        </v>
          </cell>
          <cell r="W26"/>
          <cell r="X26"/>
          <cell r="AA26"/>
          <cell r="AB26"/>
        </row>
        <row r="27">
          <cell r="A27"/>
          <cell r="B27"/>
          <cell r="C27"/>
          <cell r="F27"/>
          <cell r="H27"/>
          <cell r="J27"/>
          <cell r="L27"/>
          <cell r="N27"/>
          <cell r="P27"/>
          <cell r="V27"/>
          <cell r="W27"/>
          <cell r="X27"/>
          <cell r="AA27"/>
          <cell r="AB27"/>
        </row>
      </sheetData>
      <sheetData sheetId="1">
        <row r="2">
          <cell r="C2">
            <v>10001</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
      <sheetName val="1I"/>
      <sheetName val="1R"/>
      <sheetName val="2I"/>
      <sheetName val="2R"/>
      <sheetName val="3I"/>
      <sheetName val="3R"/>
      <sheetName val="4I"/>
      <sheetName val="4R"/>
      <sheetName val="5I"/>
      <sheetName val="5R"/>
      <sheetName val="6I"/>
      <sheetName val="6R"/>
      <sheetName val="7I"/>
      <sheetName val="7R"/>
      <sheetName val="8I"/>
      <sheetName val="8R"/>
      <sheetName val="9I"/>
      <sheetName val="9R"/>
      <sheetName val="10I"/>
      <sheetName val="10R"/>
      <sheetName val="11I"/>
      <sheetName val="11R"/>
      <sheetName val="12I"/>
      <sheetName val="12R"/>
      <sheetName val="13I"/>
      <sheetName val="13R"/>
      <sheetName val="14I"/>
      <sheetName val="14R"/>
      <sheetName val="15I"/>
      <sheetName val="15R"/>
      <sheetName val="16I"/>
      <sheetName val="16R"/>
      <sheetName val="17I"/>
      <sheetName val="17R"/>
      <sheetName val="18I"/>
      <sheetName val="18R"/>
      <sheetName val="19I"/>
      <sheetName val="19R"/>
      <sheetName val="20I"/>
      <sheetName val="20R"/>
      <sheetName val="21I"/>
      <sheetName val="21R"/>
      <sheetName val="22I"/>
      <sheetName val="22R"/>
      <sheetName val="23I"/>
      <sheetName val="23R"/>
      <sheetName val="24I"/>
      <sheetName val="24R"/>
      <sheetName val="25I"/>
      <sheetName val="25R"/>
      <sheetName val="26I"/>
      <sheetName val="26R"/>
      <sheetName val="27I"/>
      <sheetName val="27R"/>
      <sheetName val="28I"/>
      <sheetName val="28R"/>
      <sheetName val="29I"/>
      <sheetName val="29R"/>
      <sheetName val="30I"/>
      <sheetName val="30R"/>
      <sheetName val="data"/>
    </sheetNames>
    <sheetDataSet>
      <sheetData sheetId="0" refreshError="1"/>
      <sheetData sheetId="1">
        <row r="5">
          <cell r="AZ5">
            <v>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9">
          <cell r="I9" t="str">
            <v>NBN EN 932-1 - CMA/1/A.14</v>
          </cell>
        </row>
      </sheetData>
      <sheetData sheetId="12">
        <row r="66">
          <cell r="AN66">
            <v>1864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2">
          <cell r="A2">
            <v>0</v>
          </cell>
          <cell r="B2" t="str">
            <v>80-S</v>
          </cell>
          <cell r="C2" t="str">
            <v>80+S</v>
          </cell>
          <cell r="D2" t="str">
            <v>63-S</v>
          </cell>
          <cell r="E2" t="str">
            <v>63+S</v>
          </cell>
          <cell r="F2" t="str">
            <v>56-S</v>
          </cell>
          <cell r="G2" t="str">
            <v>56+S</v>
          </cell>
          <cell r="H2" t="str">
            <v>50-S</v>
          </cell>
          <cell r="I2" t="str">
            <v>50+S</v>
          </cell>
          <cell r="J2" t="str">
            <v>40-S</v>
          </cell>
          <cell r="K2" t="str">
            <v>40+S</v>
          </cell>
          <cell r="L2" t="str">
            <v>31,5-S</v>
          </cell>
          <cell r="M2" t="str">
            <v>31,5+S</v>
          </cell>
          <cell r="N2" t="str">
            <v>25-S</v>
          </cell>
          <cell r="O2" t="str">
            <v>25+S</v>
          </cell>
          <cell r="P2" t="str">
            <v>20-S</v>
          </cell>
          <cell r="Q2" t="str">
            <v>20+S</v>
          </cell>
          <cell r="R2" t="str">
            <v>16-S</v>
          </cell>
          <cell r="S2" t="str">
            <v>16+S</v>
          </cell>
          <cell r="T2" t="str">
            <v>14-S</v>
          </cell>
          <cell r="U2" t="str">
            <v>14+S</v>
          </cell>
          <cell r="V2" t="str">
            <v>12,5-S</v>
          </cell>
          <cell r="W2" t="str">
            <v>12,5+S</v>
          </cell>
          <cell r="X2" t="str">
            <v>10-S</v>
          </cell>
          <cell r="Y2" t="str">
            <v>10+S</v>
          </cell>
          <cell r="Z2" t="str">
            <v>8-S</v>
          </cell>
          <cell r="AA2" t="str">
            <v>8+S</v>
          </cell>
          <cell r="AB2" t="str">
            <v>6,3-S</v>
          </cell>
          <cell r="AC2" t="str">
            <v>6,3+S</v>
          </cell>
          <cell r="AD2" t="str">
            <v>5-S</v>
          </cell>
          <cell r="AE2" t="str">
            <v>5+S</v>
          </cell>
          <cell r="AF2" t="str">
            <v>4-S</v>
          </cell>
          <cell r="AG2" t="str">
            <v>4+S</v>
          </cell>
          <cell r="AH2" t="str">
            <v>2-S</v>
          </cell>
          <cell r="AI2" t="str">
            <v>2+S</v>
          </cell>
          <cell r="AJ2" t="str">
            <v>1-S</v>
          </cell>
          <cell r="AK2" t="str">
            <v>1+S</v>
          </cell>
          <cell r="AL2" t="str">
            <v>0,5-S</v>
          </cell>
          <cell r="AM2" t="str">
            <v>0,5+S</v>
          </cell>
          <cell r="AN2" t="str">
            <v>0,063-S</v>
          </cell>
          <cell r="AO2" t="str">
            <v>0,063+S</v>
          </cell>
          <cell r="AP2" t="str">
            <v>80/-12</v>
          </cell>
          <cell r="AQ2" t="str">
            <v>80/+12</v>
          </cell>
          <cell r="AR2" t="str">
            <v>63/-12</v>
          </cell>
          <cell r="AS2" t="str">
            <v>63/+12</v>
          </cell>
          <cell r="AT2" t="str">
            <v>56/-12</v>
          </cell>
          <cell r="AU2" t="str">
            <v>56/+12</v>
          </cell>
          <cell r="AV2" t="str">
            <v>50/-12</v>
          </cell>
          <cell r="AW2" t="str">
            <v>50/+12</v>
          </cell>
          <cell r="AX2" t="str">
            <v>40/-12</v>
          </cell>
          <cell r="AY2" t="str">
            <v>40/+12</v>
          </cell>
          <cell r="AZ2" t="str">
            <v>31,5/-12</v>
          </cell>
          <cell r="BA2" t="str">
            <v>31,5/+12</v>
          </cell>
          <cell r="BB2" t="str">
            <v>25/-12</v>
          </cell>
          <cell r="BC2" t="str">
            <v>25/+12</v>
          </cell>
          <cell r="BD2" t="str">
            <v>20/-12</v>
          </cell>
          <cell r="BE2" t="str">
            <v>20/+12</v>
          </cell>
          <cell r="BF2" t="str">
            <v>16/-12</v>
          </cell>
          <cell r="BG2" t="str">
            <v>16/+12</v>
          </cell>
          <cell r="BH2" t="str">
            <v>14/-12</v>
          </cell>
          <cell r="BI2" t="str">
            <v>14/+12</v>
          </cell>
          <cell r="BJ2" t="str">
            <v>12,5/-12</v>
          </cell>
          <cell r="BK2" t="str">
            <v>12,5/+12</v>
          </cell>
          <cell r="BL2" t="str">
            <v>10/-12</v>
          </cell>
          <cell r="BM2" t="str">
            <v>10/+12</v>
          </cell>
          <cell r="BN2" t="str">
            <v>8/-12</v>
          </cell>
          <cell r="BO2" t="str">
            <v>8/+12</v>
          </cell>
          <cell r="BP2" t="str">
            <v>6,3/-12</v>
          </cell>
          <cell r="BQ2" t="str">
            <v>6,3/+12</v>
          </cell>
          <cell r="BR2" t="str">
            <v>5/-12</v>
          </cell>
          <cell r="BS2" t="str">
            <v>5/+12</v>
          </cell>
          <cell r="BT2" t="str">
            <v>4/-12</v>
          </cell>
          <cell r="BU2" t="str">
            <v>4/+12</v>
          </cell>
          <cell r="BV2" t="str">
            <v>2/-12</v>
          </cell>
          <cell r="BW2" t="str">
            <v>2/+12</v>
          </cell>
          <cell r="BX2" t="str">
            <v>1/-12</v>
          </cell>
          <cell r="BY2" t="str">
            <v>1/+12</v>
          </cell>
          <cell r="BZ2" t="str">
            <v>0,5/-12</v>
          </cell>
          <cell r="CA2" t="str">
            <v>0,5/+12</v>
          </cell>
          <cell r="CB2" t="str">
            <v>0,063/-12</v>
          </cell>
          <cell r="CC2" t="str">
            <v>0,063/+12</v>
          </cell>
          <cell r="CD2" t="str">
            <v>80/-13</v>
          </cell>
          <cell r="CE2" t="str">
            <v>80/+13</v>
          </cell>
          <cell r="CF2" t="str">
            <v>63/-13</v>
          </cell>
          <cell r="CG2" t="str">
            <v>63/+13</v>
          </cell>
          <cell r="CH2" t="str">
            <v>56/-13</v>
          </cell>
          <cell r="CI2" t="str">
            <v>56/+13</v>
          </cell>
          <cell r="CJ2" t="str">
            <v>50/-13</v>
          </cell>
          <cell r="CK2" t="str">
            <v>50/+13</v>
          </cell>
          <cell r="CL2" t="str">
            <v>40/-13</v>
          </cell>
          <cell r="CM2" t="str">
            <v>40/+13</v>
          </cell>
          <cell r="CN2" t="str">
            <v>31,5/-13</v>
          </cell>
          <cell r="CO2" t="str">
            <v>31,5/+13</v>
          </cell>
          <cell r="CP2" t="str">
            <v>25/-13</v>
          </cell>
          <cell r="CQ2" t="str">
            <v>25/+13</v>
          </cell>
          <cell r="CR2" t="str">
            <v>20/-13</v>
          </cell>
          <cell r="CS2" t="str">
            <v>20/+13</v>
          </cell>
          <cell r="CT2" t="str">
            <v>16/-13</v>
          </cell>
          <cell r="CU2" t="str">
            <v>16/+13</v>
          </cell>
          <cell r="CV2" t="str">
            <v>14/-13</v>
          </cell>
          <cell r="CW2" t="str">
            <v>14/+13</v>
          </cell>
          <cell r="CX2" t="str">
            <v>12,5/-13</v>
          </cell>
          <cell r="CY2" t="str">
            <v>12,5/+13</v>
          </cell>
          <cell r="CZ2" t="str">
            <v>10/-13</v>
          </cell>
          <cell r="DA2" t="str">
            <v>10/+13</v>
          </cell>
          <cell r="DB2" t="str">
            <v>8/-13</v>
          </cell>
          <cell r="DC2" t="str">
            <v>8/+13</v>
          </cell>
          <cell r="DD2" t="str">
            <v>6,3/-13</v>
          </cell>
          <cell r="DE2" t="str">
            <v>6,3/+13</v>
          </cell>
          <cell r="DF2" t="str">
            <v>5/-13</v>
          </cell>
          <cell r="DG2" t="str">
            <v>5/+13</v>
          </cell>
          <cell r="DH2" t="str">
            <v>4/-13</v>
          </cell>
          <cell r="DI2" t="str">
            <v>4/+13</v>
          </cell>
          <cell r="DJ2" t="str">
            <v>2/-13</v>
          </cell>
          <cell r="DK2" t="str">
            <v>2/+13</v>
          </cell>
          <cell r="DL2" t="str">
            <v>1/-13</v>
          </cell>
          <cell r="DM2" t="str">
            <v>1/+13</v>
          </cell>
          <cell r="DN2" t="str">
            <v>0,5/-13</v>
          </cell>
          <cell r="DO2" t="str">
            <v>0,5/+13</v>
          </cell>
          <cell r="DP2" t="str">
            <v>0,063/-13</v>
          </cell>
          <cell r="DQ2" t="str">
            <v>0,063/+13</v>
          </cell>
          <cell r="DR2" t="str">
            <v>NZ1</v>
          </cell>
          <cell r="DS2" t="str">
            <v>NZ2</v>
          </cell>
          <cell r="DT2" t="str">
            <v>NZ3</v>
          </cell>
          <cell r="DU2" t="str">
            <v>NZ4</v>
          </cell>
          <cell r="DV2" t="str">
            <v>NZ5</v>
          </cell>
          <cell r="DW2" t="str">
            <v>NZ6</v>
          </cell>
          <cell r="DX2" t="str">
            <v>NZ7</v>
          </cell>
          <cell r="DY2" t="str">
            <v>NZ8</v>
          </cell>
          <cell r="DZ2" t="str">
            <v>NZ9</v>
          </cell>
          <cell r="EA2" t="str">
            <v>X&lt;&gt;</v>
          </cell>
          <cell r="EB2" t="str">
            <v>X</v>
          </cell>
          <cell r="EC2" t="str">
            <v>Rg&lt;&gt;</v>
          </cell>
          <cell r="ED2" t="str">
            <v>Rg</v>
          </cell>
          <cell r="EE2" t="str">
            <v>Rc&lt;&gt;</v>
          </cell>
          <cell r="EF2" t="str">
            <v>Rc</v>
          </cell>
          <cell r="EG2" t="str">
            <v>Ru&lt;&gt;</v>
          </cell>
          <cell r="EH2" t="str">
            <v>Ru</v>
          </cell>
          <cell r="EI2" t="str">
            <v>Rcug&lt;&gt;</v>
          </cell>
          <cell r="EJ2" t="str">
            <v>Rcug</v>
          </cell>
          <cell r="EK2" t="str">
            <v>Rb&lt;&gt;</v>
          </cell>
          <cell r="EL2" t="str">
            <v>Rb</v>
          </cell>
          <cell r="EM2" t="str">
            <v>Ra&lt;&gt;</v>
          </cell>
          <cell r="EN2" t="str">
            <v>Ra</v>
          </cell>
          <cell r="EO2" t="str">
            <v>XRg&lt;&gt;</v>
          </cell>
          <cell r="EP2" t="str">
            <v>XRg</v>
          </cell>
          <cell r="EQ2" t="str">
            <v>Rcu&lt;&gt;</v>
          </cell>
          <cell r="ER2" t="str">
            <v>Rcu</v>
          </cell>
          <cell r="ES2" t="str">
            <v>NC1</v>
          </cell>
          <cell r="ET2" t="str">
            <v>NC2</v>
          </cell>
          <cell r="EU2" t="str">
            <v>NC3</v>
          </cell>
          <cell r="EV2" t="str">
            <v>NC4</v>
          </cell>
          <cell r="EW2" t="str">
            <v>NC5</v>
          </cell>
          <cell r="EX2" t="str">
            <v>NC6</v>
          </cell>
          <cell r="EY2" t="str">
            <v>NC7</v>
          </cell>
          <cell r="EZ2" t="str">
            <v>NC8</v>
          </cell>
        </row>
        <row r="3">
          <cell r="A3">
            <v>1</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cell r="AA3">
            <v>27</v>
          </cell>
          <cell r="AB3">
            <v>28</v>
          </cell>
          <cell r="AC3">
            <v>29</v>
          </cell>
          <cell r="AD3">
            <v>30</v>
          </cell>
          <cell r="AE3">
            <v>31</v>
          </cell>
          <cell r="AF3">
            <v>32</v>
          </cell>
          <cell r="AG3">
            <v>33</v>
          </cell>
          <cell r="AH3">
            <v>34</v>
          </cell>
          <cell r="AI3">
            <v>35</v>
          </cell>
          <cell r="AJ3">
            <v>36</v>
          </cell>
          <cell r="AK3">
            <v>37</v>
          </cell>
          <cell r="AL3">
            <v>38</v>
          </cell>
          <cell r="AM3">
            <v>39</v>
          </cell>
          <cell r="AN3">
            <v>40</v>
          </cell>
          <cell r="AO3">
            <v>41</v>
          </cell>
          <cell r="AP3">
            <v>42</v>
          </cell>
          <cell r="AQ3">
            <v>43</v>
          </cell>
          <cell r="AR3">
            <v>44</v>
          </cell>
          <cell r="AS3">
            <v>45</v>
          </cell>
          <cell r="AT3">
            <v>46</v>
          </cell>
          <cell r="AU3">
            <v>47</v>
          </cell>
          <cell r="AV3">
            <v>48</v>
          </cell>
          <cell r="AW3">
            <v>49</v>
          </cell>
          <cell r="AX3">
            <v>50</v>
          </cell>
          <cell r="AY3">
            <v>51</v>
          </cell>
          <cell r="AZ3">
            <v>52</v>
          </cell>
          <cell r="BA3">
            <v>53</v>
          </cell>
          <cell r="BB3">
            <v>54</v>
          </cell>
          <cell r="BC3">
            <v>55</v>
          </cell>
          <cell r="BD3">
            <v>56</v>
          </cell>
          <cell r="BE3">
            <v>57</v>
          </cell>
          <cell r="BF3">
            <v>58</v>
          </cell>
          <cell r="BG3">
            <v>59</v>
          </cell>
          <cell r="BH3">
            <v>60</v>
          </cell>
          <cell r="BI3">
            <v>61</v>
          </cell>
          <cell r="BJ3">
            <v>62</v>
          </cell>
          <cell r="BK3">
            <v>63</v>
          </cell>
          <cell r="BL3">
            <v>64</v>
          </cell>
          <cell r="BM3">
            <v>65</v>
          </cell>
          <cell r="BN3">
            <v>66</v>
          </cell>
          <cell r="BO3">
            <v>67</v>
          </cell>
          <cell r="BP3">
            <v>68</v>
          </cell>
          <cell r="BQ3">
            <v>69</v>
          </cell>
          <cell r="BR3">
            <v>70</v>
          </cell>
          <cell r="BS3">
            <v>71</v>
          </cell>
          <cell r="BT3">
            <v>72</v>
          </cell>
          <cell r="BU3">
            <v>73</v>
          </cell>
          <cell r="BV3">
            <v>74</v>
          </cell>
          <cell r="BW3">
            <v>75</v>
          </cell>
          <cell r="BX3">
            <v>76</v>
          </cell>
          <cell r="BY3">
            <v>77</v>
          </cell>
          <cell r="BZ3">
            <v>78</v>
          </cell>
          <cell r="CA3">
            <v>79</v>
          </cell>
          <cell r="CB3">
            <v>80</v>
          </cell>
          <cell r="CC3">
            <v>81</v>
          </cell>
          <cell r="CD3">
            <v>82</v>
          </cell>
          <cell r="CE3">
            <v>83</v>
          </cell>
          <cell r="CF3">
            <v>84</v>
          </cell>
          <cell r="CG3">
            <v>85</v>
          </cell>
          <cell r="CH3">
            <v>86</v>
          </cell>
          <cell r="CI3">
            <v>87</v>
          </cell>
          <cell r="CJ3">
            <v>88</v>
          </cell>
          <cell r="CK3">
            <v>89</v>
          </cell>
          <cell r="CL3">
            <v>90</v>
          </cell>
          <cell r="CM3">
            <v>91</v>
          </cell>
          <cell r="CN3">
            <v>92</v>
          </cell>
          <cell r="CO3">
            <v>93</v>
          </cell>
          <cell r="CP3">
            <v>94</v>
          </cell>
          <cell r="CQ3">
            <v>95</v>
          </cell>
          <cell r="CR3">
            <v>96</v>
          </cell>
          <cell r="CS3">
            <v>97</v>
          </cell>
          <cell r="CT3">
            <v>98</v>
          </cell>
          <cell r="CU3">
            <v>99</v>
          </cell>
          <cell r="CV3">
            <v>100</v>
          </cell>
          <cell r="CW3">
            <v>101</v>
          </cell>
          <cell r="CX3">
            <v>102</v>
          </cell>
          <cell r="CY3">
            <v>103</v>
          </cell>
          <cell r="CZ3">
            <v>104</v>
          </cell>
          <cell r="DA3">
            <v>105</v>
          </cell>
          <cell r="DB3">
            <v>106</v>
          </cell>
          <cell r="DC3">
            <v>107</v>
          </cell>
          <cell r="DD3">
            <v>108</v>
          </cell>
          <cell r="DE3">
            <v>109</v>
          </cell>
          <cell r="DF3">
            <v>110</v>
          </cell>
          <cell r="DG3">
            <v>111</v>
          </cell>
          <cell r="DH3">
            <v>112</v>
          </cell>
          <cell r="DI3">
            <v>113</v>
          </cell>
          <cell r="DJ3">
            <v>114</v>
          </cell>
          <cell r="DK3">
            <v>115</v>
          </cell>
          <cell r="DL3">
            <v>116</v>
          </cell>
          <cell r="DM3">
            <v>117</v>
          </cell>
          <cell r="DN3">
            <v>118</v>
          </cell>
          <cell r="DO3">
            <v>119</v>
          </cell>
          <cell r="DP3">
            <v>120</v>
          </cell>
          <cell r="DQ3">
            <v>121</v>
          </cell>
          <cell r="DR3">
            <v>122</v>
          </cell>
          <cell r="DS3">
            <v>123</v>
          </cell>
          <cell r="DT3">
            <v>124</v>
          </cell>
          <cell r="DU3">
            <v>125</v>
          </cell>
          <cell r="DV3">
            <v>126</v>
          </cell>
          <cell r="DW3">
            <v>127</v>
          </cell>
          <cell r="DX3">
            <v>128</v>
          </cell>
          <cell r="DY3">
            <v>129</v>
          </cell>
          <cell r="DZ3">
            <v>130</v>
          </cell>
          <cell r="EA3">
            <v>131</v>
          </cell>
          <cell r="EB3">
            <v>132</v>
          </cell>
          <cell r="EC3">
            <v>133</v>
          </cell>
          <cell r="ED3">
            <v>134</v>
          </cell>
          <cell r="EE3">
            <v>135</v>
          </cell>
          <cell r="EF3">
            <v>136</v>
          </cell>
          <cell r="EG3">
            <v>137</v>
          </cell>
          <cell r="EH3">
            <v>138</v>
          </cell>
          <cell r="EI3">
            <v>139</v>
          </cell>
          <cell r="EJ3">
            <v>140</v>
          </cell>
          <cell r="EK3">
            <v>141</v>
          </cell>
          <cell r="EL3">
            <v>142</v>
          </cell>
          <cell r="EM3">
            <v>143</v>
          </cell>
          <cell r="EN3">
            <v>144</v>
          </cell>
          <cell r="EO3">
            <v>145</v>
          </cell>
          <cell r="EP3">
            <v>146</v>
          </cell>
          <cell r="EQ3">
            <v>147</v>
          </cell>
          <cell r="ER3">
            <v>148</v>
          </cell>
          <cell r="ES3">
            <v>149</v>
          </cell>
          <cell r="ET3">
            <v>150</v>
          </cell>
          <cell r="EU3">
            <v>151</v>
          </cell>
          <cell r="EV3">
            <v>152</v>
          </cell>
          <cell r="EW3">
            <v>153</v>
          </cell>
          <cell r="EX3">
            <v>154</v>
          </cell>
          <cell r="EY3">
            <v>155</v>
          </cell>
          <cell r="EZ3">
            <v>156</v>
          </cell>
        </row>
        <row r="4">
          <cell r="A4" t="str">
            <v>B1 Betongranulaat 0/40 GA75 GTANR f7 MBF10</v>
          </cell>
          <cell r="B4">
            <v>100</v>
          </cell>
          <cell r="C4">
            <v>100</v>
          </cell>
          <cell r="D4" t="str">
            <v>-</v>
          </cell>
          <cell r="E4" t="str">
            <v>-</v>
          </cell>
          <cell r="F4" t="str">
            <v>-</v>
          </cell>
          <cell r="G4" t="str">
            <v>-</v>
          </cell>
          <cell r="H4" t="str">
            <v>-</v>
          </cell>
          <cell r="I4" t="str">
            <v>-</v>
          </cell>
          <cell r="J4">
            <v>75</v>
          </cell>
          <cell r="K4">
            <v>99</v>
          </cell>
          <cell r="L4" t="str">
            <v>-</v>
          </cell>
          <cell r="M4" t="str">
            <v>-</v>
          </cell>
          <cell r="N4" t="str">
            <v>-</v>
          </cell>
          <cell r="O4" t="str">
            <v>-</v>
          </cell>
          <cell r="P4">
            <v>47</v>
          </cell>
          <cell r="Q4">
            <v>87</v>
          </cell>
          <cell r="R4" t="str">
            <v>-</v>
          </cell>
          <cell r="S4" t="str">
            <v>-</v>
          </cell>
          <cell r="T4" t="str">
            <v>-</v>
          </cell>
          <cell r="U4" t="str">
            <v>-</v>
          </cell>
          <cell r="V4" t="str">
            <v>-</v>
          </cell>
          <cell r="W4" t="str">
            <v>-</v>
          </cell>
          <cell r="X4" t="str">
            <v>-</v>
          </cell>
          <cell r="Y4" t="str">
            <v>-</v>
          </cell>
          <cell r="Z4" t="str">
            <v>-</v>
          </cell>
          <cell r="AA4" t="str">
            <v>-</v>
          </cell>
          <cell r="AB4" t="str">
            <v>-</v>
          </cell>
          <cell r="AC4" t="str">
            <v>-</v>
          </cell>
          <cell r="AD4" t="str">
            <v>-</v>
          </cell>
          <cell r="AE4" t="str">
            <v>-</v>
          </cell>
          <cell r="AF4" t="str">
            <v>-</v>
          </cell>
          <cell r="AG4" t="str">
            <v>-</v>
          </cell>
          <cell r="AH4">
            <v>15</v>
          </cell>
          <cell r="AI4">
            <v>75</v>
          </cell>
          <cell r="AJ4" t="str">
            <v>-</v>
          </cell>
          <cell r="AK4" t="str">
            <v>-</v>
          </cell>
          <cell r="AL4" t="str">
            <v>-</v>
          </cell>
          <cell r="AM4" t="str">
            <v>-</v>
          </cell>
          <cell r="AN4">
            <v>0</v>
          </cell>
          <cell r="AO4">
            <v>7</v>
          </cell>
          <cell r="AP4" t="str">
            <v>-</v>
          </cell>
          <cell r="AQ4" t="str">
            <v>-</v>
          </cell>
          <cell r="AR4" t="str">
            <v>-</v>
          </cell>
          <cell r="AS4" t="str">
            <v>-</v>
          </cell>
          <cell r="AT4" t="str">
            <v>-</v>
          </cell>
          <cell r="AU4" t="str">
            <v>-</v>
          </cell>
          <cell r="AV4" t="str">
            <v>-</v>
          </cell>
          <cell r="AW4" t="str">
            <v>-</v>
          </cell>
          <cell r="AX4" t="str">
            <v>-</v>
          </cell>
          <cell r="AY4" t="str">
            <v>-</v>
          </cell>
          <cell r="AZ4" t="str">
            <v>-</v>
          </cell>
          <cell r="BA4" t="str">
            <v>-</v>
          </cell>
          <cell r="BB4" t="str">
            <v>-</v>
          </cell>
          <cell r="BC4" t="str">
            <v>-</v>
          </cell>
          <cell r="BD4" t="str">
            <v>-</v>
          </cell>
          <cell r="BE4" t="str">
            <v>-</v>
          </cell>
          <cell r="BF4" t="str">
            <v>-</v>
          </cell>
          <cell r="BG4" t="str">
            <v>-</v>
          </cell>
          <cell r="BH4" t="str">
            <v>-</v>
          </cell>
          <cell r="BI4" t="str">
            <v>-</v>
          </cell>
          <cell r="BJ4" t="str">
            <v>-</v>
          </cell>
          <cell r="BK4" t="str">
            <v>-</v>
          </cell>
          <cell r="BL4" t="str">
            <v>-</v>
          </cell>
          <cell r="BM4" t="str">
            <v>-</v>
          </cell>
          <cell r="BN4" t="str">
            <v>-</v>
          </cell>
          <cell r="BO4" t="str">
            <v>-</v>
          </cell>
          <cell r="BP4" t="str">
            <v>-</v>
          </cell>
          <cell r="BQ4" t="str">
            <v>-</v>
          </cell>
          <cell r="BR4" t="str">
            <v>-</v>
          </cell>
          <cell r="BS4" t="str">
            <v>-</v>
          </cell>
          <cell r="BT4" t="str">
            <v>-</v>
          </cell>
          <cell r="BU4" t="str">
            <v>-</v>
          </cell>
          <cell r="BV4" t="str">
            <v>-</v>
          </cell>
          <cell r="BW4" t="str">
            <v>-</v>
          </cell>
          <cell r="BX4" t="str">
            <v>-</v>
          </cell>
          <cell r="BY4" t="str">
            <v>-</v>
          </cell>
          <cell r="BZ4" t="str">
            <v>-</v>
          </cell>
          <cell r="CA4" t="str">
            <v>-</v>
          </cell>
          <cell r="CB4" t="str">
            <v>-</v>
          </cell>
          <cell r="CC4" t="str">
            <v>-</v>
          </cell>
          <cell r="CD4">
            <v>100</v>
          </cell>
          <cell r="CE4">
            <v>100</v>
          </cell>
          <cell r="CF4" t="str">
            <v>-</v>
          </cell>
          <cell r="CG4" t="str">
            <v>-</v>
          </cell>
          <cell r="CH4" t="str">
            <v>-</v>
          </cell>
          <cell r="CI4" t="str">
            <v>-</v>
          </cell>
          <cell r="CJ4" t="str">
            <v>-</v>
          </cell>
          <cell r="CK4" t="str">
            <v>-</v>
          </cell>
          <cell r="CL4">
            <v>75</v>
          </cell>
          <cell r="CM4">
            <v>99</v>
          </cell>
          <cell r="CN4" t="str">
            <v>-</v>
          </cell>
          <cell r="CO4" t="str">
            <v>-</v>
          </cell>
          <cell r="CP4" t="str">
            <v>-</v>
          </cell>
          <cell r="CQ4" t="str">
            <v>-</v>
          </cell>
          <cell r="CR4" t="str">
            <v>-</v>
          </cell>
          <cell r="CS4" t="str">
            <v>-</v>
          </cell>
          <cell r="CT4" t="str">
            <v>-</v>
          </cell>
          <cell r="CU4" t="str">
            <v>-</v>
          </cell>
          <cell r="CV4" t="str">
            <v>-</v>
          </cell>
          <cell r="CW4" t="str">
            <v>-</v>
          </cell>
          <cell r="CX4" t="str">
            <v>-</v>
          </cell>
          <cell r="CY4" t="str">
            <v>-</v>
          </cell>
          <cell r="CZ4" t="str">
            <v>-</v>
          </cell>
          <cell r="DA4" t="str">
            <v>-</v>
          </cell>
          <cell r="DB4" t="str">
            <v>-</v>
          </cell>
          <cell r="DC4" t="str">
            <v>-</v>
          </cell>
          <cell r="DD4" t="str">
            <v>-</v>
          </cell>
          <cell r="DE4" t="str">
            <v>-</v>
          </cell>
          <cell r="DF4" t="str">
            <v>-</v>
          </cell>
          <cell r="DG4" t="str">
            <v>-</v>
          </cell>
          <cell r="DH4" t="str">
            <v>-</v>
          </cell>
          <cell r="DI4" t="str">
            <v>-</v>
          </cell>
          <cell r="DJ4" t="str">
            <v>-</v>
          </cell>
          <cell r="DK4" t="str">
            <v>-</v>
          </cell>
          <cell r="DL4" t="str">
            <v>-</v>
          </cell>
          <cell r="DM4" t="str">
            <v>-</v>
          </cell>
          <cell r="DN4" t="str">
            <v>-</v>
          </cell>
          <cell r="DO4" t="str">
            <v>-</v>
          </cell>
          <cell r="DP4">
            <v>0</v>
          </cell>
          <cell r="DQ4">
            <v>7</v>
          </cell>
          <cell r="DR4">
            <v>80</v>
          </cell>
          <cell r="DS4">
            <v>40</v>
          </cell>
          <cell r="DT4">
            <v>31.5</v>
          </cell>
          <cell r="DU4">
            <v>20</v>
          </cell>
          <cell r="DV4">
            <v>16</v>
          </cell>
          <cell r="DW4">
            <v>8</v>
          </cell>
          <cell r="DX4">
            <v>4</v>
          </cell>
          <cell r="DY4">
            <v>2</v>
          </cell>
          <cell r="DZ4">
            <v>6.3E-2</v>
          </cell>
          <cell r="EA4" t="str">
            <v>≤</v>
          </cell>
          <cell r="EB4">
            <v>1</v>
          </cell>
          <cell r="EC4" t="str">
            <v>≤</v>
          </cell>
          <cell r="ED4">
            <v>2</v>
          </cell>
          <cell r="EE4" t="str">
            <v>≥</v>
          </cell>
          <cell r="EF4">
            <v>70</v>
          </cell>
          <cell r="EG4" t="str">
            <v>-</v>
          </cell>
          <cell r="EH4" t="str">
            <v>-</v>
          </cell>
          <cell r="EI4" t="str">
            <v>≥</v>
          </cell>
          <cell r="EJ4">
            <v>90</v>
          </cell>
          <cell r="EK4" t="str">
            <v>≤</v>
          </cell>
          <cell r="EL4">
            <v>10</v>
          </cell>
          <cell r="EM4" t="str">
            <v>≤</v>
          </cell>
          <cell r="EN4">
            <v>5</v>
          </cell>
          <cell r="EO4" t="str">
            <v>-</v>
          </cell>
          <cell r="EP4" t="str">
            <v>-</v>
          </cell>
          <cell r="EQ4" t="str">
            <v>-</v>
          </cell>
          <cell r="ER4" t="str">
            <v>-</v>
          </cell>
          <cell r="ES4" t="str">
            <v>X</v>
          </cell>
          <cell r="ET4" t="str">
            <v>Rg</v>
          </cell>
          <cell r="EU4" t="str">
            <v>Rc</v>
          </cell>
          <cell r="EV4" t="str">
            <v>Rcug</v>
          </cell>
          <cell r="EW4" t="str">
            <v>Rb</v>
          </cell>
          <cell r="EX4" t="str">
            <v>Ra</v>
          </cell>
          <cell r="EY4" t="str">
            <v>-</v>
          </cell>
          <cell r="EZ4" t="str">
            <v>-</v>
          </cell>
        </row>
        <row r="5">
          <cell r="A5" t="str">
            <v>B2 Betongranulaat 0/56 mm GA75 GTANR f7 MBF10</v>
          </cell>
          <cell r="B5">
            <v>100</v>
          </cell>
          <cell r="C5">
            <v>100</v>
          </cell>
          <cell r="D5" t="str">
            <v>-</v>
          </cell>
          <cell r="E5" t="str">
            <v>-</v>
          </cell>
          <cell r="F5">
            <v>85</v>
          </cell>
          <cell r="G5">
            <v>99</v>
          </cell>
          <cell r="H5" t="str">
            <v>-</v>
          </cell>
          <cell r="I5" t="str">
            <v>-</v>
          </cell>
          <cell r="J5" t="str">
            <v>-</v>
          </cell>
          <cell r="K5" t="str">
            <v>-</v>
          </cell>
          <cell r="L5">
            <v>50</v>
          </cell>
          <cell r="M5">
            <v>90</v>
          </cell>
          <cell r="N5" t="str">
            <v>-</v>
          </cell>
          <cell r="O5" t="str">
            <v>-</v>
          </cell>
          <cell r="P5" t="str">
            <v>-</v>
          </cell>
          <cell r="Q5" t="str">
            <v>-</v>
          </cell>
          <cell r="R5">
            <v>30</v>
          </cell>
          <cell r="S5">
            <v>75</v>
          </cell>
          <cell r="T5" t="str">
            <v>-</v>
          </cell>
          <cell r="U5" t="str">
            <v>-</v>
          </cell>
          <cell r="V5" t="str">
            <v>-</v>
          </cell>
          <cell r="W5" t="str">
            <v>-</v>
          </cell>
          <cell r="X5" t="str">
            <v>-</v>
          </cell>
          <cell r="Y5" t="str">
            <v>-</v>
          </cell>
          <cell r="Z5">
            <v>15</v>
          </cell>
          <cell r="AA5">
            <v>60</v>
          </cell>
          <cell r="AB5" t="str">
            <v>-</v>
          </cell>
          <cell r="AC5" t="str">
            <v>-</v>
          </cell>
          <cell r="AD5" t="str">
            <v>-</v>
          </cell>
          <cell r="AE5" t="str">
            <v>-</v>
          </cell>
          <cell r="AF5" t="str">
            <v>-</v>
          </cell>
          <cell r="AG5" t="str">
            <v>-</v>
          </cell>
          <cell r="AH5" t="str">
            <v>-</v>
          </cell>
          <cell r="AI5" t="str">
            <v>-</v>
          </cell>
          <cell r="AJ5" t="str">
            <v>-</v>
          </cell>
          <cell r="AK5" t="str">
            <v>-</v>
          </cell>
          <cell r="AL5" t="str">
            <v>-</v>
          </cell>
          <cell r="AM5" t="str">
            <v>-</v>
          </cell>
          <cell r="AN5">
            <v>0</v>
          </cell>
          <cell r="AO5">
            <v>7</v>
          </cell>
          <cell r="AP5" t="str">
            <v>-</v>
          </cell>
          <cell r="AQ5" t="str">
            <v>-</v>
          </cell>
          <cell r="AR5" t="str">
            <v>-</v>
          </cell>
          <cell r="AS5" t="str">
            <v>-</v>
          </cell>
          <cell r="AT5" t="str">
            <v>-</v>
          </cell>
          <cell r="AU5" t="str">
            <v>-</v>
          </cell>
          <cell r="AV5" t="str">
            <v>-</v>
          </cell>
          <cell r="AW5" t="str">
            <v>-</v>
          </cell>
          <cell r="AX5" t="str">
            <v>-</v>
          </cell>
          <cell r="AY5" t="str">
            <v>-</v>
          </cell>
          <cell r="AZ5" t="str">
            <v>-</v>
          </cell>
          <cell r="BA5" t="str">
            <v>-</v>
          </cell>
          <cell r="BB5" t="str">
            <v>-</v>
          </cell>
          <cell r="BC5" t="str">
            <v>-</v>
          </cell>
          <cell r="BD5" t="str">
            <v>-</v>
          </cell>
          <cell r="BE5" t="str">
            <v>-</v>
          </cell>
          <cell r="BF5" t="str">
            <v>-</v>
          </cell>
          <cell r="BG5" t="str">
            <v>-</v>
          </cell>
          <cell r="BH5" t="str">
            <v>-</v>
          </cell>
          <cell r="BI5" t="str">
            <v>-</v>
          </cell>
          <cell r="BJ5" t="str">
            <v>-</v>
          </cell>
          <cell r="BK5" t="str">
            <v>-</v>
          </cell>
          <cell r="BL5" t="str">
            <v>-</v>
          </cell>
          <cell r="BM5" t="str">
            <v>-</v>
          </cell>
          <cell r="BN5" t="str">
            <v>-</v>
          </cell>
          <cell r="BO5" t="str">
            <v>-</v>
          </cell>
          <cell r="BP5" t="str">
            <v>-</v>
          </cell>
          <cell r="BQ5" t="str">
            <v>-</v>
          </cell>
          <cell r="BR5" t="str">
            <v>-</v>
          </cell>
          <cell r="BS5" t="str">
            <v>-</v>
          </cell>
          <cell r="BT5" t="str">
            <v>-</v>
          </cell>
          <cell r="BU5" t="str">
            <v>-</v>
          </cell>
          <cell r="BV5" t="str">
            <v>-</v>
          </cell>
          <cell r="BW5" t="str">
            <v>-</v>
          </cell>
          <cell r="BX5" t="str">
            <v>-</v>
          </cell>
          <cell r="BY5" t="str">
            <v>-</v>
          </cell>
          <cell r="BZ5" t="str">
            <v>-</v>
          </cell>
          <cell r="CA5" t="str">
            <v>-</v>
          </cell>
          <cell r="CB5" t="str">
            <v>-</v>
          </cell>
          <cell r="CC5" t="str">
            <v>-</v>
          </cell>
          <cell r="CD5">
            <v>100</v>
          </cell>
          <cell r="CE5">
            <v>100</v>
          </cell>
          <cell r="CF5" t="str">
            <v>-</v>
          </cell>
          <cell r="CG5" t="str">
            <v>-</v>
          </cell>
          <cell r="CH5" t="str">
            <v>-</v>
          </cell>
          <cell r="CI5" t="str">
            <v>-</v>
          </cell>
          <cell r="CJ5" t="str">
            <v>-</v>
          </cell>
          <cell r="CK5" t="str">
            <v>-</v>
          </cell>
          <cell r="CL5">
            <v>75</v>
          </cell>
          <cell r="CM5">
            <v>99</v>
          </cell>
          <cell r="CN5" t="str">
            <v>-</v>
          </cell>
          <cell r="CO5" t="str">
            <v>-</v>
          </cell>
          <cell r="CP5" t="str">
            <v>-</v>
          </cell>
          <cell r="CQ5" t="str">
            <v>-</v>
          </cell>
          <cell r="CR5" t="str">
            <v>-</v>
          </cell>
          <cell r="CS5" t="str">
            <v>-</v>
          </cell>
          <cell r="CT5" t="str">
            <v>-</v>
          </cell>
          <cell r="CU5" t="str">
            <v>-</v>
          </cell>
          <cell r="CV5" t="str">
            <v>-</v>
          </cell>
          <cell r="CW5" t="str">
            <v>-</v>
          </cell>
          <cell r="CX5" t="str">
            <v>-</v>
          </cell>
          <cell r="CY5" t="str">
            <v>-</v>
          </cell>
          <cell r="CZ5" t="str">
            <v>-</v>
          </cell>
          <cell r="DA5" t="str">
            <v>-</v>
          </cell>
          <cell r="DB5" t="str">
            <v>-</v>
          </cell>
          <cell r="DC5" t="str">
            <v>-</v>
          </cell>
          <cell r="DD5" t="str">
            <v>-</v>
          </cell>
          <cell r="DE5" t="str">
            <v>-</v>
          </cell>
          <cell r="DF5" t="str">
            <v>-</v>
          </cell>
          <cell r="DG5" t="str">
            <v>-</v>
          </cell>
          <cell r="DH5" t="str">
            <v>-</v>
          </cell>
          <cell r="DI5" t="str">
            <v>-</v>
          </cell>
          <cell r="DJ5" t="str">
            <v>-</v>
          </cell>
          <cell r="DK5" t="str">
            <v>-</v>
          </cell>
          <cell r="DL5" t="str">
            <v>-</v>
          </cell>
          <cell r="DM5" t="str">
            <v>-</v>
          </cell>
          <cell r="DN5" t="str">
            <v>-</v>
          </cell>
          <cell r="DO5" t="str">
            <v>-</v>
          </cell>
          <cell r="DP5">
            <v>0</v>
          </cell>
          <cell r="DQ5">
            <v>7</v>
          </cell>
          <cell r="DR5">
            <v>80</v>
          </cell>
          <cell r="DS5">
            <v>56</v>
          </cell>
          <cell r="DT5">
            <v>32</v>
          </cell>
          <cell r="DU5">
            <v>20</v>
          </cell>
          <cell r="DV5">
            <v>16</v>
          </cell>
          <cell r="DW5">
            <v>8</v>
          </cell>
          <cell r="DX5">
            <v>4</v>
          </cell>
          <cell r="DY5">
            <v>2</v>
          </cell>
          <cell r="DZ5">
            <v>6.3E-2</v>
          </cell>
          <cell r="EA5" t="str">
            <v>≤</v>
          </cell>
          <cell r="EB5">
            <v>1</v>
          </cell>
          <cell r="EC5" t="str">
            <v>≤</v>
          </cell>
          <cell r="ED5">
            <v>2</v>
          </cell>
          <cell r="EE5" t="str">
            <v>≥</v>
          </cell>
          <cell r="EF5">
            <v>70</v>
          </cell>
          <cell r="EG5" t="str">
            <v>-</v>
          </cell>
          <cell r="EH5" t="str">
            <v>-</v>
          </cell>
          <cell r="EI5" t="str">
            <v>≥</v>
          </cell>
          <cell r="EJ5">
            <v>90</v>
          </cell>
          <cell r="EK5" t="str">
            <v>≤</v>
          </cell>
          <cell r="EL5">
            <v>10</v>
          </cell>
          <cell r="EM5" t="str">
            <v>≤</v>
          </cell>
          <cell r="EN5">
            <v>5</v>
          </cell>
          <cell r="EO5" t="str">
            <v>-</v>
          </cell>
          <cell r="EP5" t="str">
            <v>-</v>
          </cell>
          <cell r="EQ5" t="str">
            <v>-</v>
          </cell>
          <cell r="ER5" t="str">
            <v>-</v>
          </cell>
          <cell r="ES5" t="str">
            <v>X</v>
          </cell>
          <cell r="ET5" t="str">
            <v>Rg</v>
          </cell>
          <cell r="EU5" t="str">
            <v>Rc</v>
          </cell>
          <cell r="EV5" t="str">
            <v>Rcug</v>
          </cell>
          <cell r="EW5" t="str">
            <v>Rb</v>
          </cell>
          <cell r="EX5" t="str">
            <v>Ra</v>
          </cell>
          <cell r="EY5" t="str">
            <v>-</v>
          </cell>
          <cell r="EZ5" t="str">
            <v>-</v>
          </cell>
        </row>
        <row r="6">
          <cell r="A6" t="str">
            <v>B3 Menggranulaat 0/40 mm GA75 GTANR f7 MBF10</v>
          </cell>
          <cell r="B6">
            <v>100</v>
          </cell>
          <cell r="C6">
            <v>100</v>
          </cell>
          <cell r="D6" t="str">
            <v>-</v>
          </cell>
          <cell r="E6" t="str">
            <v>-</v>
          </cell>
          <cell r="F6" t="str">
            <v>-</v>
          </cell>
          <cell r="G6" t="str">
            <v>-</v>
          </cell>
          <cell r="H6" t="str">
            <v>-</v>
          </cell>
          <cell r="I6" t="str">
            <v>-</v>
          </cell>
          <cell r="J6">
            <v>75</v>
          </cell>
          <cell r="K6">
            <v>99</v>
          </cell>
          <cell r="L6" t="str">
            <v>-</v>
          </cell>
          <cell r="M6" t="str">
            <v>-</v>
          </cell>
          <cell r="N6" t="str">
            <v>-</v>
          </cell>
          <cell r="O6" t="str">
            <v>-</v>
          </cell>
          <cell r="P6">
            <v>47</v>
          </cell>
          <cell r="Q6">
            <v>87</v>
          </cell>
          <cell r="R6" t="str">
            <v>-</v>
          </cell>
          <cell r="S6" t="str">
            <v>-</v>
          </cell>
          <cell r="T6" t="str">
            <v>-</v>
          </cell>
          <cell r="U6" t="str">
            <v>-</v>
          </cell>
          <cell r="V6" t="str">
            <v>-</v>
          </cell>
          <cell r="W6" t="str">
            <v>-</v>
          </cell>
          <cell r="X6" t="str">
            <v>-</v>
          </cell>
          <cell r="Y6" t="str">
            <v>-</v>
          </cell>
          <cell r="Z6" t="str">
            <v>-</v>
          </cell>
          <cell r="AA6" t="str">
            <v>-</v>
          </cell>
          <cell r="AB6" t="str">
            <v>-</v>
          </cell>
          <cell r="AC6" t="str">
            <v>-</v>
          </cell>
          <cell r="AD6" t="str">
            <v>-</v>
          </cell>
          <cell r="AE6" t="str">
            <v>-</v>
          </cell>
          <cell r="AF6" t="str">
            <v>-</v>
          </cell>
          <cell r="AG6" t="str">
            <v>-</v>
          </cell>
          <cell r="AH6">
            <v>15</v>
          </cell>
          <cell r="AI6">
            <v>75</v>
          </cell>
          <cell r="AJ6" t="str">
            <v>-</v>
          </cell>
          <cell r="AK6" t="str">
            <v>-</v>
          </cell>
          <cell r="AL6" t="str">
            <v>-</v>
          </cell>
          <cell r="AM6" t="str">
            <v>-</v>
          </cell>
          <cell r="AN6">
            <v>0</v>
          </cell>
          <cell r="AO6">
            <v>7</v>
          </cell>
          <cell r="AP6" t="str">
            <v>-</v>
          </cell>
          <cell r="AQ6" t="str">
            <v>-</v>
          </cell>
          <cell r="AR6" t="str">
            <v>-</v>
          </cell>
          <cell r="AS6" t="str">
            <v>-</v>
          </cell>
          <cell r="AT6" t="str">
            <v>-</v>
          </cell>
          <cell r="AU6" t="str">
            <v>-</v>
          </cell>
          <cell r="AV6" t="str">
            <v>-</v>
          </cell>
          <cell r="AW6" t="str">
            <v>-</v>
          </cell>
          <cell r="AX6" t="str">
            <v>-</v>
          </cell>
          <cell r="AY6" t="str">
            <v>-</v>
          </cell>
          <cell r="AZ6" t="str">
            <v>-</v>
          </cell>
          <cell r="BA6" t="str">
            <v>-</v>
          </cell>
          <cell r="BB6" t="str">
            <v>-</v>
          </cell>
          <cell r="BC6" t="str">
            <v>-</v>
          </cell>
          <cell r="BD6" t="str">
            <v>-</v>
          </cell>
          <cell r="BE6" t="str">
            <v>-</v>
          </cell>
          <cell r="BF6" t="str">
            <v>-</v>
          </cell>
          <cell r="BG6" t="str">
            <v>-</v>
          </cell>
          <cell r="BH6" t="str">
            <v>-</v>
          </cell>
          <cell r="BI6" t="str">
            <v>-</v>
          </cell>
          <cell r="BJ6" t="str">
            <v>-</v>
          </cell>
          <cell r="BK6" t="str">
            <v>-</v>
          </cell>
          <cell r="BL6" t="str">
            <v>-</v>
          </cell>
          <cell r="BM6" t="str">
            <v>-</v>
          </cell>
          <cell r="BN6" t="str">
            <v>-</v>
          </cell>
          <cell r="BO6" t="str">
            <v>-</v>
          </cell>
          <cell r="BP6" t="str">
            <v>-</v>
          </cell>
          <cell r="BQ6" t="str">
            <v>-</v>
          </cell>
          <cell r="BR6" t="str">
            <v>-</v>
          </cell>
          <cell r="BS6" t="str">
            <v>-</v>
          </cell>
          <cell r="BT6" t="str">
            <v>-</v>
          </cell>
          <cell r="BU6" t="str">
            <v>-</v>
          </cell>
          <cell r="BV6" t="str">
            <v>-</v>
          </cell>
          <cell r="BW6" t="str">
            <v>-</v>
          </cell>
          <cell r="BX6" t="str">
            <v>-</v>
          </cell>
          <cell r="BY6" t="str">
            <v>-</v>
          </cell>
          <cell r="BZ6" t="str">
            <v>-</v>
          </cell>
          <cell r="CA6" t="str">
            <v>-</v>
          </cell>
          <cell r="CB6" t="str">
            <v>-</v>
          </cell>
          <cell r="CC6" t="str">
            <v>-</v>
          </cell>
          <cell r="CD6">
            <v>100</v>
          </cell>
          <cell r="CE6">
            <v>100</v>
          </cell>
          <cell r="CF6" t="str">
            <v>-</v>
          </cell>
          <cell r="CG6" t="str">
            <v>-</v>
          </cell>
          <cell r="CH6" t="str">
            <v>-</v>
          </cell>
          <cell r="CI6" t="str">
            <v>-</v>
          </cell>
          <cell r="CJ6" t="str">
            <v>-</v>
          </cell>
          <cell r="CK6" t="str">
            <v>-</v>
          </cell>
          <cell r="CL6">
            <v>75</v>
          </cell>
          <cell r="CM6">
            <v>99</v>
          </cell>
          <cell r="CN6" t="str">
            <v>-</v>
          </cell>
          <cell r="CO6" t="str">
            <v>-</v>
          </cell>
          <cell r="CP6" t="str">
            <v>-</v>
          </cell>
          <cell r="CQ6" t="str">
            <v>-</v>
          </cell>
          <cell r="CR6" t="str">
            <v>-</v>
          </cell>
          <cell r="CS6" t="str">
            <v>-</v>
          </cell>
          <cell r="CT6" t="str">
            <v>-</v>
          </cell>
          <cell r="CU6" t="str">
            <v>-</v>
          </cell>
          <cell r="CV6" t="str">
            <v>-</v>
          </cell>
          <cell r="CW6" t="str">
            <v>-</v>
          </cell>
          <cell r="CX6" t="str">
            <v>-</v>
          </cell>
          <cell r="CY6" t="str">
            <v>-</v>
          </cell>
          <cell r="CZ6" t="str">
            <v>-</v>
          </cell>
          <cell r="DA6" t="str">
            <v>-</v>
          </cell>
          <cell r="DB6" t="str">
            <v>-</v>
          </cell>
          <cell r="DC6" t="str">
            <v>-</v>
          </cell>
          <cell r="DD6" t="str">
            <v>-</v>
          </cell>
          <cell r="DE6" t="str">
            <v>-</v>
          </cell>
          <cell r="DF6" t="str">
            <v>-</v>
          </cell>
          <cell r="DG6" t="str">
            <v>-</v>
          </cell>
          <cell r="DH6" t="str">
            <v>-</v>
          </cell>
          <cell r="DI6" t="str">
            <v>-</v>
          </cell>
          <cell r="DJ6" t="str">
            <v>-</v>
          </cell>
          <cell r="DK6" t="str">
            <v>-</v>
          </cell>
          <cell r="DL6" t="str">
            <v>-</v>
          </cell>
          <cell r="DM6" t="str">
            <v>-</v>
          </cell>
          <cell r="DN6" t="str">
            <v>-</v>
          </cell>
          <cell r="DO6" t="str">
            <v>-</v>
          </cell>
          <cell r="DP6">
            <v>0</v>
          </cell>
          <cell r="DQ6">
            <v>7</v>
          </cell>
          <cell r="DR6">
            <v>80</v>
          </cell>
          <cell r="DS6">
            <v>40</v>
          </cell>
          <cell r="DT6">
            <v>31.5</v>
          </cell>
          <cell r="DU6">
            <v>20</v>
          </cell>
          <cell r="DV6">
            <v>16</v>
          </cell>
          <cell r="DW6">
            <v>8</v>
          </cell>
          <cell r="DX6">
            <v>4</v>
          </cell>
          <cell r="DY6">
            <v>2</v>
          </cell>
          <cell r="DZ6">
            <v>6.3E-2</v>
          </cell>
          <cell r="EA6" t="str">
            <v>≤</v>
          </cell>
          <cell r="EB6">
            <v>1</v>
          </cell>
          <cell r="EC6" t="str">
            <v>≤</v>
          </cell>
          <cell r="ED6">
            <v>2</v>
          </cell>
          <cell r="EE6" t="str">
            <v>-</v>
          </cell>
          <cell r="EF6" t="str">
            <v>-</v>
          </cell>
          <cell r="EG6" t="str">
            <v>-</v>
          </cell>
          <cell r="EH6" t="str">
            <v>-</v>
          </cell>
          <cell r="EI6" t="str">
            <v>≥</v>
          </cell>
          <cell r="EJ6">
            <v>50</v>
          </cell>
          <cell r="EK6" t="str">
            <v>≤</v>
          </cell>
          <cell r="EL6">
            <v>50</v>
          </cell>
          <cell r="EM6" t="str">
            <v>≤</v>
          </cell>
          <cell r="EN6">
            <v>5</v>
          </cell>
          <cell r="EO6" t="str">
            <v>-</v>
          </cell>
          <cell r="EP6" t="str">
            <v>-</v>
          </cell>
          <cell r="EQ6" t="str">
            <v>-</v>
          </cell>
          <cell r="ER6" t="str">
            <v>-</v>
          </cell>
          <cell r="ES6" t="str">
            <v>X</v>
          </cell>
          <cell r="ET6" t="str">
            <v>Rg</v>
          </cell>
          <cell r="EU6" t="str">
            <v>Rcug</v>
          </cell>
          <cell r="EV6" t="str">
            <v>Rb</v>
          </cell>
          <cell r="EW6" t="str">
            <v>Ra</v>
          </cell>
          <cell r="EX6" t="str">
            <v>-</v>
          </cell>
          <cell r="EY6" t="str">
            <v>-</v>
          </cell>
          <cell r="EZ6" t="str">
            <v>-</v>
          </cell>
        </row>
        <row r="7">
          <cell r="A7" t="str">
            <v>B4 Menggranulaat 0/56 mm GA75 GTANR f7 MBF10</v>
          </cell>
          <cell r="B7">
            <v>100</v>
          </cell>
          <cell r="C7">
            <v>100</v>
          </cell>
          <cell r="D7" t="str">
            <v>-</v>
          </cell>
          <cell r="E7" t="str">
            <v>-</v>
          </cell>
          <cell r="F7">
            <v>85</v>
          </cell>
          <cell r="G7">
            <v>99</v>
          </cell>
          <cell r="H7" t="str">
            <v>-</v>
          </cell>
          <cell r="I7" t="str">
            <v>-</v>
          </cell>
          <cell r="J7" t="str">
            <v>-</v>
          </cell>
          <cell r="K7" t="str">
            <v>-</v>
          </cell>
          <cell r="L7">
            <v>50</v>
          </cell>
          <cell r="M7">
            <v>90</v>
          </cell>
          <cell r="N7" t="str">
            <v>-</v>
          </cell>
          <cell r="O7" t="str">
            <v>-</v>
          </cell>
          <cell r="P7" t="str">
            <v>-</v>
          </cell>
          <cell r="Q7" t="str">
            <v>-</v>
          </cell>
          <cell r="R7">
            <v>30</v>
          </cell>
          <cell r="S7">
            <v>75</v>
          </cell>
          <cell r="T7" t="str">
            <v>-</v>
          </cell>
          <cell r="U7" t="str">
            <v>-</v>
          </cell>
          <cell r="V7" t="str">
            <v>-</v>
          </cell>
          <cell r="W7" t="str">
            <v>-</v>
          </cell>
          <cell r="X7" t="str">
            <v>-</v>
          </cell>
          <cell r="Y7" t="str">
            <v>-</v>
          </cell>
          <cell r="Z7">
            <v>15</v>
          </cell>
          <cell r="AA7">
            <v>60</v>
          </cell>
          <cell r="AB7" t="str">
            <v>-</v>
          </cell>
          <cell r="AC7" t="str">
            <v>-</v>
          </cell>
          <cell r="AD7" t="str">
            <v>-</v>
          </cell>
          <cell r="AE7" t="str">
            <v>-</v>
          </cell>
          <cell r="AF7" t="str">
            <v>-</v>
          </cell>
          <cell r="AG7" t="str">
            <v>-</v>
          </cell>
          <cell r="AH7" t="str">
            <v>-</v>
          </cell>
          <cell r="AI7" t="str">
            <v>-</v>
          </cell>
          <cell r="AJ7" t="str">
            <v>-</v>
          </cell>
          <cell r="AK7" t="str">
            <v>-</v>
          </cell>
          <cell r="AL7" t="str">
            <v>-</v>
          </cell>
          <cell r="AM7" t="str">
            <v>-</v>
          </cell>
          <cell r="AN7">
            <v>0</v>
          </cell>
          <cell r="AO7">
            <v>7</v>
          </cell>
          <cell r="AP7" t="str">
            <v>-</v>
          </cell>
          <cell r="AQ7" t="str">
            <v>-</v>
          </cell>
          <cell r="AR7" t="str">
            <v>-</v>
          </cell>
          <cell r="AS7" t="str">
            <v>-</v>
          </cell>
          <cell r="AT7" t="str">
            <v>-</v>
          </cell>
          <cell r="AU7" t="str">
            <v>-</v>
          </cell>
          <cell r="AV7" t="str">
            <v>-</v>
          </cell>
          <cell r="AW7" t="str">
            <v>-</v>
          </cell>
          <cell r="AX7" t="str">
            <v>-</v>
          </cell>
          <cell r="AY7" t="str">
            <v>-</v>
          </cell>
          <cell r="AZ7" t="str">
            <v>-</v>
          </cell>
          <cell r="BA7" t="str">
            <v>-</v>
          </cell>
          <cell r="BB7" t="str">
            <v>-</v>
          </cell>
          <cell r="BC7" t="str">
            <v>-</v>
          </cell>
          <cell r="BD7" t="str">
            <v>-</v>
          </cell>
          <cell r="BE7" t="str">
            <v>-</v>
          </cell>
          <cell r="BF7" t="str">
            <v>-</v>
          </cell>
          <cell r="BG7" t="str">
            <v>-</v>
          </cell>
          <cell r="BH7" t="str">
            <v>-</v>
          </cell>
          <cell r="BI7" t="str">
            <v>-</v>
          </cell>
          <cell r="BJ7" t="str">
            <v>-</v>
          </cell>
          <cell r="BK7" t="str">
            <v>-</v>
          </cell>
          <cell r="BL7" t="str">
            <v>-</v>
          </cell>
          <cell r="BM7" t="str">
            <v>-</v>
          </cell>
          <cell r="BN7" t="str">
            <v>-</v>
          </cell>
          <cell r="BO7" t="str">
            <v>-</v>
          </cell>
          <cell r="BP7" t="str">
            <v>-</v>
          </cell>
          <cell r="BQ7" t="str">
            <v>-</v>
          </cell>
          <cell r="BR7" t="str">
            <v>-</v>
          </cell>
          <cell r="BS7" t="str">
            <v>-</v>
          </cell>
          <cell r="BT7" t="str">
            <v>-</v>
          </cell>
          <cell r="BU7" t="str">
            <v>-</v>
          </cell>
          <cell r="BV7" t="str">
            <v>-</v>
          </cell>
          <cell r="BW7" t="str">
            <v>-</v>
          </cell>
          <cell r="BX7" t="str">
            <v>-</v>
          </cell>
          <cell r="BY7" t="str">
            <v>-</v>
          </cell>
          <cell r="BZ7" t="str">
            <v>-</v>
          </cell>
          <cell r="CA7" t="str">
            <v>-</v>
          </cell>
          <cell r="CB7" t="str">
            <v>-</v>
          </cell>
          <cell r="CC7" t="str">
            <v>-</v>
          </cell>
          <cell r="CD7">
            <v>100</v>
          </cell>
          <cell r="CE7">
            <v>100</v>
          </cell>
          <cell r="CF7" t="str">
            <v>-</v>
          </cell>
          <cell r="CG7" t="str">
            <v>-</v>
          </cell>
          <cell r="CH7" t="str">
            <v>-</v>
          </cell>
          <cell r="CI7" t="str">
            <v>-</v>
          </cell>
          <cell r="CJ7" t="str">
            <v>-</v>
          </cell>
          <cell r="CK7" t="str">
            <v>-</v>
          </cell>
          <cell r="CL7">
            <v>75</v>
          </cell>
          <cell r="CM7">
            <v>99</v>
          </cell>
          <cell r="CN7" t="str">
            <v>-</v>
          </cell>
          <cell r="CO7" t="str">
            <v>-</v>
          </cell>
          <cell r="CP7" t="str">
            <v>-</v>
          </cell>
          <cell r="CQ7" t="str">
            <v>-</v>
          </cell>
          <cell r="CR7" t="str">
            <v>-</v>
          </cell>
          <cell r="CS7" t="str">
            <v>-</v>
          </cell>
          <cell r="CT7" t="str">
            <v>-</v>
          </cell>
          <cell r="CU7" t="str">
            <v>-</v>
          </cell>
          <cell r="CV7" t="str">
            <v>-</v>
          </cell>
          <cell r="CW7" t="str">
            <v>-</v>
          </cell>
          <cell r="CX7" t="str">
            <v>-</v>
          </cell>
          <cell r="CY7" t="str">
            <v>-</v>
          </cell>
          <cell r="CZ7" t="str">
            <v>-</v>
          </cell>
          <cell r="DA7" t="str">
            <v>-</v>
          </cell>
          <cell r="DB7" t="str">
            <v>-</v>
          </cell>
          <cell r="DC7" t="str">
            <v>-</v>
          </cell>
          <cell r="DD7" t="str">
            <v>-</v>
          </cell>
          <cell r="DE7" t="str">
            <v>-</v>
          </cell>
          <cell r="DF7" t="str">
            <v>-</v>
          </cell>
          <cell r="DG7" t="str">
            <v>-</v>
          </cell>
          <cell r="DH7" t="str">
            <v>-</v>
          </cell>
          <cell r="DI7" t="str">
            <v>-</v>
          </cell>
          <cell r="DJ7" t="str">
            <v>-</v>
          </cell>
          <cell r="DK7" t="str">
            <v>-</v>
          </cell>
          <cell r="DL7" t="str">
            <v>-</v>
          </cell>
          <cell r="DM7" t="str">
            <v>-</v>
          </cell>
          <cell r="DN7" t="str">
            <v>-</v>
          </cell>
          <cell r="DO7" t="str">
            <v>-</v>
          </cell>
          <cell r="DP7">
            <v>0</v>
          </cell>
          <cell r="DQ7">
            <v>7</v>
          </cell>
          <cell r="DR7">
            <v>80</v>
          </cell>
          <cell r="DS7">
            <v>56</v>
          </cell>
          <cell r="DT7">
            <v>32</v>
          </cell>
          <cell r="DU7">
            <v>20</v>
          </cell>
          <cell r="DV7">
            <v>16</v>
          </cell>
          <cell r="DW7">
            <v>8</v>
          </cell>
          <cell r="DX7">
            <v>4</v>
          </cell>
          <cell r="DY7">
            <v>2</v>
          </cell>
          <cell r="DZ7">
            <v>6.3E-2</v>
          </cell>
          <cell r="EA7" t="str">
            <v>≤</v>
          </cell>
          <cell r="EB7">
            <v>1</v>
          </cell>
          <cell r="EC7" t="str">
            <v>≤</v>
          </cell>
          <cell r="ED7">
            <v>2</v>
          </cell>
          <cell r="EE7" t="str">
            <v>-</v>
          </cell>
          <cell r="EF7" t="str">
            <v>-</v>
          </cell>
          <cell r="EG7" t="str">
            <v>-</v>
          </cell>
          <cell r="EH7" t="str">
            <v>-</v>
          </cell>
          <cell r="EI7" t="str">
            <v>≥</v>
          </cell>
          <cell r="EJ7">
            <v>50</v>
          </cell>
          <cell r="EK7" t="str">
            <v>≤</v>
          </cell>
          <cell r="EL7">
            <v>50</v>
          </cell>
          <cell r="EM7" t="str">
            <v>≤</v>
          </cell>
          <cell r="EN7">
            <v>5</v>
          </cell>
          <cell r="EO7" t="str">
            <v>-</v>
          </cell>
          <cell r="EP7" t="str">
            <v>-</v>
          </cell>
          <cell r="EQ7" t="str">
            <v>-</v>
          </cell>
          <cell r="ER7" t="str">
            <v>-</v>
          </cell>
          <cell r="ES7" t="str">
            <v>X</v>
          </cell>
          <cell r="ET7" t="str">
            <v>Rg</v>
          </cell>
          <cell r="EU7" t="str">
            <v>Rcug</v>
          </cell>
          <cell r="EV7" t="str">
            <v>Rb</v>
          </cell>
          <cell r="EW7" t="str">
            <v>Ra</v>
          </cell>
          <cell r="EX7" t="str">
            <v>-</v>
          </cell>
          <cell r="EY7" t="str">
            <v>-</v>
          </cell>
          <cell r="EZ7" t="str">
            <v>-</v>
          </cell>
        </row>
        <row r="8">
          <cell r="A8" t="str">
            <v>B5 Metselwerkgranulaat 0/40 mm GA75 GTANR f7 MBF10</v>
          </cell>
          <cell r="B8">
            <v>100</v>
          </cell>
          <cell r="C8">
            <v>100</v>
          </cell>
          <cell r="D8" t="str">
            <v>-</v>
          </cell>
          <cell r="E8" t="str">
            <v>-</v>
          </cell>
          <cell r="F8" t="str">
            <v>-</v>
          </cell>
          <cell r="G8" t="str">
            <v>-</v>
          </cell>
          <cell r="H8" t="str">
            <v>-</v>
          </cell>
          <cell r="I8" t="str">
            <v>-</v>
          </cell>
          <cell r="J8">
            <v>75</v>
          </cell>
          <cell r="K8">
            <v>99</v>
          </cell>
          <cell r="L8" t="str">
            <v>-</v>
          </cell>
          <cell r="M8" t="str">
            <v>-</v>
          </cell>
          <cell r="N8" t="str">
            <v>-</v>
          </cell>
          <cell r="O8" t="str">
            <v>-</v>
          </cell>
          <cell r="P8">
            <v>47</v>
          </cell>
          <cell r="Q8">
            <v>87</v>
          </cell>
          <cell r="R8" t="str">
            <v>-</v>
          </cell>
          <cell r="S8" t="str">
            <v>-</v>
          </cell>
          <cell r="T8" t="str">
            <v>-</v>
          </cell>
          <cell r="U8" t="str">
            <v>-</v>
          </cell>
          <cell r="V8" t="str">
            <v>-</v>
          </cell>
          <cell r="W8" t="str">
            <v>-</v>
          </cell>
          <cell r="X8" t="str">
            <v>-</v>
          </cell>
          <cell r="Y8" t="str">
            <v>-</v>
          </cell>
          <cell r="Z8" t="str">
            <v>-</v>
          </cell>
          <cell r="AA8" t="str">
            <v>-</v>
          </cell>
          <cell r="AB8" t="str">
            <v>-</v>
          </cell>
          <cell r="AC8" t="str">
            <v>-</v>
          </cell>
          <cell r="AD8" t="str">
            <v>-</v>
          </cell>
          <cell r="AE8" t="str">
            <v>-</v>
          </cell>
          <cell r="AF8" t="str">
            <v>-</v>
          </cell>
          <cell r="AG8" t="str">
            <v>-</v>
          </cell>
          <cell r="AH8">
            <v>15</v>
          </cell>
          <cell r="AI8">
            <v>75</v>
          </cell>
          <cell r="AJ8" t="str">
            <v>-</v>
          </cell>
          <cell r="AK8" t="str">
            <v>-</v>
          </cell>
          <cell r="AL8" t="str">
            <v>-</v>
          </cell>
          <cell r="AM8" t="str">
            <v>-</v>
          </cell>
          <cell r="AN8">
            <v>0</v>
          </cell>
          <cell r="AO8">
            <v>7</v>
          </cell>
          <cell r="AP8" t="str">
            <v>-</v>
          </cell>
          <cell r="AQ8" t="str">
            <v>-</v>
          </cell>
          <cell r="AR8" t="str">
            <v>-</v>
          </cell>
          <cell r="AS8" t="str">
            <v>-</v>
          </cell>
          <cell r="AT8" t="str">
            <v>-</v>
          </cell>
          <cell r="AU8" t="str">
            <v>-</v>
          </cell>
          <cell r="AV8" t="str">
            <v>-</v>
          </cell>
          <cell r="AW8" t="str">
            <v>-</v>
          </cell>
          <cell r="AX8" t="str">
            <v>-</v>
          </cell>
          <cell r="AY8" t="str">
            <v>-</v>
          </cell>
          <cell r="AZ8" t="str">
            <v>-</v>
          </cell>
          <cell r="BA8" t="str">
            <v>-</v>
          </cell>
          <cell r="BB8" t="str">
            <v>-</v>
          </cell>
          <cell r="BC8" t="str">
            <v>-</v>
          </cell>
          <cell r="BD8" t="str">
            <v>-</v>
          </cell>
          <cell r="BE8" t="str">
            <v>-</v>
          </cell>
          <cell r="BF8" t="str">
            <v>-</v>
          </cell>
          <cell r="BG8" t="str">
            <v>-</v>
          </cell>
          <cell r="BH8" t="str">
            <v>-</v>
          </cell>
          <cell r="BI8" t="str">
            <v>-</v>
          </cell>
          <cell r="BJ8" t="str">
            <v>-</v>
          </cell>
          <cell r="BK8" t="str">
            <v>-</v>
          </cell>
          <cell r="BL8" t="str">
            <v>-</v>
          </cell>
          <cell r="BM8" t="str">
            <v>-</v>
          </cell>
          <cell r="BN8" t="str">
            <v>-</v>
          </cell>
          <cell r="BO8" t="str">
            <v>-</v>
          </cell>
          <cell r="BP8" t="str">
            <v>-</v>
          </cell>
          <cell r="BQ8" t="str">
            <v>-</v>
          </cell>
          <cell r="BR8" t="str">
            <v>-</v>
          </cell>
          <cell r="BS8" t="str">
            <v>-</v>
          </cell>
          <cell r="BT8" t="str">
            <v>-</v>
          </cell>
          <cell r="BU8" t="str">
            <v>-</v>
          </cell>
          <cell r="BV8" t="str">
            <v>-</v>
          </cell>
          <cell r="BW8" t="str">
            <v>-</v>
          </cell>
          <cell r="BX8" t="str">
            <v>-</v>
          </cell>
          <cell r="BY8" t="str">
            <v>-</v>
          </cell>
          <cell r="BZ8" t="str">
            <v>-</v>
          </cell>
          <cell r="CA8" t="str">
            <v>-</v>
          </cell>
          <cell r="CB8" t="str">
            <v>-</v>
          </cell>
          <cell r="CC8" t="str">
            <v>-</v>
          </cell>
          <cell r="CD8">
            <v>100</v>
          </cell>
          <cell r="CE8">
            <v>100</v>
          </cell>
          <cell r="CF8" t="str">
            <v>-</v>
          </cell>
          <cell r="CG8" t="str">
            <v>-</v>
          </cell>
          <cell r="CH8" t="str">
            <v>-</v>
          </cell>
          <cell r="CI8" t="str">
            <v>-</v>
          </cell>
          <cell r="CJ8" t="str">
            <v>-</v>
          </cell>
          <cell r="CK8" t="str">
            <v>-</v>
          </cell>
          <cell r="CL8">
            <v>75</v>
          </cell>
          <cell r="CM8">
            <v>99</v>
          </cell>
          <cell r="CN8" t="str">
            <v>-</v>
          </cell>
          <cell r="CO8" t="str">
            <v>-</v>
          </cell>
          <cell r="CP8" t="str">
            <v>-</v>
          </cell>
          <cell r="CQ8" t="str">
            <v>-</v>
          </cell>
          <cell r="CR8" t="str">
            <v>-</v>
          </cell>
          <cell r="CS8" t="str">
            <v>-</v>
          </cell>
          <cell r="CT8" t="str">
            <v>-</v>
          </cell>
          <cell r="CU8" t="str">
            <v>-</v>
          </cell>
          <cell r="CV8" t="str">
            <v>-</v>
          </cell>
          <cell r="CW8" t="str">
            <v>-</v>
          </cell>
          <cell r="CX8" t="str">
            <v>-</v>
          </cell>
          <cell r="CY8" t="str">
            <v>-</v>
          </cell>
          <cell r="CZ8" t="str">
            <v>-</v>
          </cell>
          <cell r="DA8" t="str">
            <v>-</v>
          </cell>
          <cell r="DB8" t="str">
            <v>-</v>
          </cell>
          <cell r="DC8" t="str">
            <v>-</v>
          </cell>
          <cell r="DD8" t="str">
            <v>-</v>
          </cell>
          <cell r="DE8" t="str">
            <v>-</v>
          </cell>
          <cell r="DF8" t="str">
            <v>-</v>
          </cell>
          <cell r="DG8" t="str">
            <v>-</v>
          </cell>
          <cell r="DH8" t="str">
            <v>-</v>
          </cell>
          <cell r="DI8" t="str">
            <v>-</v>
          </cell>
          <cell r="DJ8" t="str">
            <v>-</v>
          </cell>
          <cell r="DK8" t="str">
            <v>-</v>
          </cell>
          <cell r="DL8" t="str">
            <v>-</v>
          </cell>
          <cell r="DM8" t="str">
            <v>-</v>
          </cell>
          <cell r="DN8" t="str">
            <v>-</v>
          </cell>
          <cell r="DO8" t="str">
            <v>-</v>
          </cell>
          <cell r="DP8">
            <v>0</v>
          </cell>
          <cell r="DQ8">
            <v>7</v>
          </cell>
          <cell r="DR8">
            <v>80</v>
          </cell>
          <cell r="DS8">
            <v>40</v>
          </cell>
          <cell r="DT8">
            <v>31.5</v>
          </cell>
          <cell r="DU8">
            <v>20</v>
          </cell>
          <cell r="DV8">
            <v>16</v>
          </cell>
          <cell r="DW8">
            <v>8</v>
          </cell>
          <cell r="DX8">
            <v>4</v>
          </cell>
          <cell r="DY8">
            <v>2</v>
          </cell>
          <cell r="DZ8">
            <v>6.3E-2</v>
          </cell>
          <cell r="EA8" t="str">
            <v>≤</v>
          </cell>
          <cell r="EB8">
            <v>1</v>
          </cell>
          <cell r="EC8" t="str">
            <v>≤</v>
          </cell>
          <cell r="ED8">
            <v>2</v>
          </cell>
          <cell r="EE8" t="str">
            <v>-</v>
          </cell>
          <cell r="EF8" t="str">
            <v>-</v>
          </cell>
          <cell r="EG8" t="str">
            <v>-</v>
          </cell>
          <cell r="EH8" t="str">
            <v>-</v>
          </cell>
          <cell r="EI8" t="str">
            <v>≤</v>
          </cell>
          <cell r="EJ8">
            <v>40</v>
          </cell>
          <cell r="EK8" t="str">
            <v>≥</v>
          </cell>
          <cell r="EL8">
            <v>60</v>
          </cell>
          <cell r="EM8" t="str">
            <v>≤</v>
          </cell>
          <cell r="EN8">
            <v>5</v>
          </cell>
          <cell r="EO8" t="str">
            <v>-</v>
          </cell>
          <cell r="EP8" t="str">
            <v>-</v>
          </cell>
          <cell r="EQ8" t="str">
            <v>-</v>
          </cell>
          <cell r="ER8" t="str">
            <v>-</v>
          </cell>
          <cell r="ES8" t="str">
            <v>X</v>
          </cell>
          <cell r="ET8" t="str">
            <v>Rg</v>
          </cell>
          <cell r="EU8" t="str">
            <v>Rcug</v>
          </cell>
          <cell r="EV8" t="str">
            <v>Rb</v>
          </cell>
          <cell r="EW8" t="str">
            <v>Ra</v>
          </cell>
          <cell r="EX8" t="str">
            <v>-</v>
          </cell>
          <cell r="EY8" t="str">
            <v>-</v>
          </cell>
          <cell r="EZ8" t="str">
            <v>-</v>
          </cell>
        </row>
        <row r="9">
          <cell r="A9" t="str">
            <v>B6 Metselwerkgranulaat 0/56 mm GA75 GTANR f7 MBF10</v>
          </cell>
          <cell r="B9">
            <v>100</v>
          </cell>
          <cell r="C9">
            <v>100</v>
          </cell>
          <cell r="D9" t="str">
            <v>-</v>
          </cell>
          <cell r="E9" t="str">
            <v>-</v>
          </cell>
          <cell r="F9">
            <v>85</v>
          </cell>
          <cell r="G9">
            <v>99</v>
          </cell>
          <cell r="H9" t="str">
            <v>-</v>
          </cell>
          <cell r="I9" t="str">
            <v>-</v>
          </cell>
          <cell r="J9" t="str">
            <v>-</v>
          </cell>
          <cell r="K9" t="str">
            <v>-</v>
          </cell>
          <cell r="L9">
            <v>50</v>
          </cell>
          <cell r="M9">
            <v>90</v>
          </cell>
          <cell r="N9" t="str">
            <v>-</v>
          </cell>
          <cell r="O9" t="str">
            <v>-</v>
          </cell>
          <cell r="P9" t="str">
            <v>-</v>
          </cell>
          <cell r="Q9" t="str">
            <v>-</v>
          </cell>
          <cell r="R9">
            <v>30</v>
          </cell>
          <cell r="S9">
            <v>75</v>
          </cell>
          <cell r="T9" t="str">
            <v>-</v>
          </cell>
          <cell r="U9" t="str">
            <v>-</v>
          </cell>
          <cell r="V9" t="str">
            <v>-</v>
          </cell>
          <cell r="W9" t="str">
            <v>-</v>
          </cell>
          <cell r="X9" t="str">
            <v>-</v>
          </cell>
          <cell r="Y9" t="str">
            <v>-</v>
          </cell>
          <cell r="Z9">
            <v>15</v>
          </cell>
          <cell r="AA9">
            <v>60</v>
          </cell>
          <cell r="AB9" t="str">
            <v>-</v>
          </cell>
          <cell r="AC9" t="str">
            <v>-</v>
          </cell>
          <cell r="AD9" t="str">
            <v>-</v>
          </cell>
          <cell r="AE9" t="str">
            <v>-</v>
          </cell>
          <cell r="AF9" t="str">
            <v>-</v>
          </cell>
          <cell r="AG9" t="str">
            <v>-</v>
          </cell>
          <cell r="AH9" t="str">
            <v>-</v>
          </cell>
          <cell r="AI9" t="str">
            <v>-</v>
          </cell>
          <cell r="AJ9" t="str">
            <v>-</v>
          </cell>
          <cell r="AK9" t="str">
            <v>-</v>
          </cell>
          <cell r="AL9" t="str">
            <v>-</v>
          </cell>
          <cell r="AM9" t="str">
            <v>-</v>
          </cell>
          <cell r="AN9">
            <v>0</v>
          </cell>
          <cell r="AO9">
            <v>7</v>
          </cell>
          <cell r="AP9" t="str">
            <v>-</v>
          </cell>
          <cell r="AQ9" t="str">
            <v>-</v>
          </cell>
          <cell r="AR9" t="str">
            <v>-</v>
          </cell>
          <cell r="AS9" t="str">
            <v>-</v>
          </cell>
          <cell r="AT9" t="str">
            <v>-</v>
          </cell>
          <cell r="AU9" t="str">
            <v>-</v>
          </cell>
          <cell r="AV9" t="str">
            <v>-</v>
          </cell>
          <cell r="AW9" t="str">
            <v>-</v>
          </cell>
          <cell r="AX9" t="str">
            <v>-</v>
          </cell>
          <cell r="AY9" t="str">
            <v>-</v>
          </cell>
          <cell r="AZ9" t="str">
            <v>-</v>
          </cell>
          <cell r="BA9" t="str">
            <v>-</v>
          </cell>
          <cell r="BB9" t="str">
            <v>-</v>
          </cell>
          <cell r="BC9" t="str">
            <v>-</v>
          </cell>
          <cell r="BD9" t="str">
            <v>-</v>
          </cell>
          <cell r="BE9" t="str">
            <v>-</v>
          </cell>
          <cell r="BF9" t="str">
            <v>-</v>
          </cell>
          <cell r="BG9" t="str">
            <v>-</v>
          </cell>
          <cell r="BH9" t="str">
            <v>-</v>
          </cell>
          <cell r="BI9" t="str">
            <v>-</v>
          </cell>
          <cell r="BJ9" t="str">
            <v>-</v>
          </cell>
          <cell r="BK9" t="str">
            <v>-</v>
          </cell>
          <cell r="BL9" t="str">
            <v>-</v>
          </cell>
          <cell r="BM9" t="str">
            <v>-</v>
          </cell>
          <cell r="BN9" t="str">
            <v>-</v>
          </cell>
          <cell r="BO9" t="str">
            <v>-</v>
          </cell>
          <cell r="BP9" t="str">
            <v>-</v>
          </cell>
          <cell r="BQ9" t="str">
            <v>-</v>
          </cell>
          <cell r="BR9" t="str">
            <v>-</v>
          </cell>
          <cell r="BS9" t="str">
            <v>-</v>
          </cell>
          <cell r="BT9" t="str">
            <v>-</v>
          </cell>
          <cell r="BU9" t="str">
            <v>-</v>
          </cell>
          <cell r="BV9" t="str">
            <v>-</v>
          </cell>
          <cell r="BW9" t="str">
            <v>-</v>
          </cell>
          <cell r="BX9" t="str">
            <v>-</v>
          </cell>
          <cell r="BY9" t="str">
            <v>-</v>
          </cell>
          <cell r="BZ9" t="str">
            <v>-</v>
          </cell>
          <cell r="CA9" t="str">
            <v>-</v>
          </cell>
          <cell r="CB9" t="str">
            <v>-</v>
          </cell>
          <cell r="CC9" t="str">
            <v>-</v>
          </cell>
          <cell r="CD9">
            <v>100</v>
          </cell>
          <cell r="CE9">
            <v>100</v>
          </cell>
          <cell r="CF9" t="str">
            <v>-</v>
          </cell>
          <cell r="CG9" t="str">
            <v>-</v>
          </cell>
          <cell r="CH9" t="str">
            <v>-</v>
          </cell>
          <cell r="CI9" t="str">
            <v>-</v>
          </cell>
          <cell r="CJ9" t="str">
            <v>-</v>
          </cell>
          <cell r="CK9" t="str">
            <v>-</v>
          </cell>
          <cell r="CL9">
            <v>75</v>
          </cell>
          <cell r="CM9">
            <v>99</v>
          </cell>
          <cell r="CN9" t="str">
            <v>-</v>
          </cell>
          <cell r="CO9" t="str">
            <v>-</v>
          </cell>
          <cell r="CP9" t="str">
            <v>-</v>
          </cell>
          <cell r="CQ9" t="str">
            <v>-</v>
          </cell>
          <cell r="CR9" t="str">
            <v>-</v>
          </cell>
          <cell r="CS9" t="str">
            <v>-</v>
          </cell>
          <cell r="CT9" t="str">
            <v>-</v>
          </cell>
          <cell r="CU9" t="str">
            <v>-</v>
          </cell>
          <cell r="CV9" t="str">
            <v>-</v>
          </cell>
          <cell r="CW9" t="str">
            <v>-</v>
          </cell>
          <cell r="CX9" t="str">
            <v>-</v>
          </cell>
          <cell r="CY9" t="str">
            <v>-</v>
          </cell>
          <cell r="CZ9" t="str">
            <v>-</v>
          </cell>
          <cell r="DA9" t="str">
            <v>-</v>
          </cell>
          <cell r="DB9" t="str">
            <v>-</v>
          </cell>
          <cell r="DC9" t="str">
            <v>-</v>
          </cell>
          <cell r="DD9" t="str">
            <v>-</v>
          </cell>
          <cell r="DE9" t="str">
            <v>-</v>
          </cell>
          <cell r="DF9" t="str">
            <v>-</v>
          </cell>
          <cell r="DG9" t="str">
            <v>-</v>
          </cell>
          <cell r="DH9" t="str">
            <v>-</v>
          </cell>
          <cell r="DI9" t="str">
            <v>-</v>
          </cell>
          <cell r="DJ9" t="str">
            <v>-</v>
          </cell>
          <cell r="DK9" t="str">
            <v>-</v>
          </cell>
          <cell r="DL9" t="str">
            <v>-</v>
          </cell>
          <cell r="DM9" t="str">
            <v>-</v>
          </cell>
          <cell r="DN9" t="str">
            <v>-</v>
          </cell>
          <cell r="DO9" t="str">
            <v>-</v>
          </cell>
          <cell r="DP9">
            <v>0</v>
          </cell>
          <cell r="DQ9">
            <v>7</v>
          </cell>
          <cell r="DR9">
            <v>80</v>
          </cell>
          <cell r="DS9">
            <v>56</v>
          </cell>
          <cell r="DT9">
            <v>32</v>
          </cell>
          <cell r="DU9">
            <v>20</v>
          </cell>
          <cell r="DV9">
            <v>16</v>
          </cell>
          <cell r="DW9">
            <v>8</v>
          </cell>
          <cell r="DX9">
            <v>4</v>
          </cell>
          <cell r="DY9">
            <v>2</v>
          </cell>
          <cell r="DZ9">
            <v>6.3E-2</v>
          </cell>
          <cell r="EA9" t="str">
            <v>≤</v>
          </cell>
          <cell r="EB9">
            <v>1</v>
          </cell>
          <cell r="EC9" t="str">
            <v>≤</v>
          </cell>
          <cell r="ED9">
            <v>2</v>
          </cell>
          <cell r="EE9" t="str">
            <v>-</v>
          </cell>
          <cell r="EF9" t="str">
            <v>-</v>
          </cell>
          <cell r="EG9" t="str">
            <v>-</v>
          </cell>
          <cell r="EH9" t="str">
            <v>-</v>
          </cell>
          <cell r="EI9" t="str">
            <v>≤</v>
          </cell>
          <cell r="EJ9">
            <v>40</v>
          </cell>
          <cell r="EK9" t="str">
            <v>≥</v>
          </cell>
          <cell r="EL9">
            <v>60</v>
          </cell>
          <cell r="EM9" t="str">
            <v>≤</v>
          </cell>
          <cell r="EN9">
            <v>5</v>
          </cell>
          <cell r="EO9" t="str">
            <v>-</v>
          </cell>
          <cell r="EP9" t="str">
            <v>-</v>
          </cell>
          <cell r="EQ9" t="str">
            <v>-</v>
          </cell>
          <cell r="ER9" t="str">
            <v>-</v>
          </cell>
          <cell r="ES9" t="str">
            <v>X</v>
          </cell>
          <cell r="ET9" t="str">
            <v>Rg</v>
          </cell>
          <cell r="EU9" t="str">
            <v>Rcug</v>
          </cell>
          <cell r="EV9" t="str">
            <v>Rb</v>
          </cell>
          <cell r="EW9" t="str">
            <v>Ra</v>
          </cell>
          <cell r="EX9" t="str">
            <v>-</v>
          </cell>
          <cell r="EY9" t="str">
            <v>-</v>
          </cell>
          <cell r="EZ9" t="str">
            <v>-</v>
          </cell>
        </row>
        <row r="10">
          <cell r="A10" t="str">
            <v>B7 Asfaltgranulaat 0/40 mm GA75 GTANR f7 MBF10</v>
          </cell>
          <cell r="B10">
            <v>100</v>
          </cell>
          <cell r="C10">
            <v>100</v>
          </cell>
          <cell r="D10" t="str">
            <v>-</v>
          </cell>
          <cell r="E10" t="str">
            <v>-</v>
          </cell>
          <cell r="F10" t="str">
            <v>-</v>
          </cell>
          <cell r="G10" t="str">
            <v>-</v>
          </cell>
          <cell r="H10" t="str">
            <v>-</v>
          </cell>
          <cell r="I10" t="str">
            <v>-</v>
          </cell>
          <cell r="J10">
            <v>75</v>
          </cell>
          <cell r="K10">
            <v>99</v>
          </cell>
          <cell r="L10" t="str">
            <v>-</v>
          </cell>
          <cell r="M10" t="str">
            <v>-</v>
          </cell>
          <cell r="N10" t="str">
            <v>-</v>
          </cell>
          <cell r="O10" t="str">
            <v>-</v>
          </cell>
          <cell r="P10">
            <v>47</v>
          </cell>
          <cell r="Q10">
            <v>87</v>
          </cell>
          <cell r="R10" t="str">
            <v>-</v>
          </cell>
          <cell r="S10" t="str">
            <v>-</v>
          </cell>
          <cell r="T10" t="str">
            <v>-</v>
          </cell>
          <cell r="U10" t="str">
            <v>-</v>
          </cell>
          <cell r="V10" t="str">
            <v>-</v>
          </cell>
          <cell r="W10" t="str">
            <v>-</v>
          </cell>
          <cell r="X10" t="str">
            <v>-</v>
          </cell>
          <cell r="Y10" t="str">
            <v>-</v>
          </cell>
          <cell r="Z10" t="str">
            <v>-</v>
          </cell>
          <cell r="AA10" t="str">
            <v>-</v>
          </cell>
          <cell r="AB10" t="str">
            <v>-</v>
          </cell>
          <cell r="AC10" t="str">
            <v>-</v>
          </cell>
          <cell r="AD10" t="str">
            <v>-</v>
          </cell>
          <cell r="AE10" t="str">
            <v>-</v>
          </cell>
          <cell r="AF10" t="str">
            <v>-</v>
          </cell>
          <cell r="AG10" t="str">
            <v>-</v>
          </cell>
          <cell r="AH10">
            <v>15</v>
          </cell>
          <cell r="AI10">
            <v>75</v>
          </cell>
          <cell r="AJ10" t="str">
            <v>-</v>
          </cell>
          <cell r="AK10" t="str">
            <v>-</v>
          </cell>
          <cell r="AL10" t="str">
            <v>-</v>
          </cell>
          <cell r="AM10" t="str">
            <v>-</v>
          </cell>
          <cell r="AN10">
            <v>0</v>
          </cell>
          <cell r="AO10">
            <v>7</v>
          </cell>
          <cell r="AP10" t="str">
            <v>-</v>
          </cell>
          <cell r="AQ10" t="str">
            <v>-</v>
          </cell>
          <cell r="AR10" t="str">
            <v>-</v>
          </cell>
          <cell r="AS10" t="str">
            <v>-</v>
          </cell>
          <cell r="AT10" t="str">
            <v>-</v>
          </cell>
          <cell r="AU10" t="str">
            <v>-</v>
          </cell>
          <cell r="AV10" t="str">
            <v>-</v>
          </cell>
          <cell r="AW10" t="str">
            <v>-</v>
          </cell>
          <cell r="AX10" t="str">
            <v>-</v>
          </cell>
          <cell r="AY10" t="str">
            <v>-</v>
          </cell>
          <cell r="AZ10" t="str">
            <v>-</v>
          </cell>
          <cell r="BA10" t="str">
            <v>-</v>
          </cell>
          <cell r="BB10" t="str">
            <v>-</v>
          </cell>
          <cell r="BC10" t="str">
            <v>-</v>
          </cell>
          <cell r="BD10" t="str">
            <v>-</v>
          </cell>
          <cell r="BE10" t="str">
            <v>-</v>
          </cell>
          <cell r="BF10" t="str">
            <v>-</v>
          </cell>
          <cell r="BG10" t="str">
            <v>-</v>
          </cell>
          <cell r="BH10" t="str">
            <v>-</v>
          </cell>
          <cell r="BI10" t="str">
            <v>-</v>
          </cell>
          <cell r="BJ10" t="str">
            <v>-</v>
          </cell>
          <cell r="BK10" t="str">
            <v>-</v>
          </cell>
          <cell r="BL10" t="str">
            <v>-</v>
          </cell>
          <cell r="BM10" t="str">
            <v>-</v>
          </cell>
          <cell r="BN10" t="str">
            <v>-</v>
          </cell>
          <cell r="BO10" t="str">
            <v>-</v>
          </cell>
          <cell r="BP10" t="str">
            <v>-</v>
          </cell>
          <cell r="BQ10" t="str">
            <v>-</v>
          </cell>
          <cell r="BR10" t="str">
            <v>-</v>
          </cell>
          <cell r="BS10" t="str">
            <v>-</v>
          </cell>
          <cell r="BT10" t="str">
            <v>-</v>
          </cell>
          <cell r="BU10" t="str">
            <v>-</v>
          </cell>
          <cell r="BV10" t="str">
            <v>-</v>
          </cell>
          <cell r="BW10" t="str">
            <v>-</v>
          </cell>
          <cell r="BX10" t="str">
            <v>-</v>
          </cell>
          <cell r="BY10" t="str">
            <v>-</v>
          </cell>
          <cell r="BZ10" t="str">
            <v>-</v>
          </cell>
          <cell r="CA10" t="str">
            <v>-</v>
          </cell>
          <cell r="CB10" t="str">
            <v>-</v>
          </cell>
          <cell r="CC10" t="str">
            <v>-</v>
          </cell>
          <cell r="CD10">
            <v>100</v>
          </cell>
          <cell r="CE10">
            <v>100</v>
          </cell>
          <cell r="CF10" t="str">
            <v>-</v>
          </cell>
          <cell r="CG10" t="str">
            <v>-</v>
          </cell>
          <cell r="CH10" t="str">
            <v>-</v>
          </cell>
          <cell r="CI10" t="str">
            <v>-</v>
          </cell>
          <cell r="CJ10" t="str">
            <v>-</v>
          </cell>
          <cell r="CK10" t="str">
            <v>-</v>
          </cell>
          <cell r="CL10">
            <v>75</v>
          </cell>
          <cell r="CM10">
            <v>99</v>
          </cell>
          <cell r="CN10" t="str">
            <v>-</v>
          </cell>
          <cell r="CO10" t="str">
            <v>-</v>
          </cell>
          <cell r="CP10" t="str">
            <v>-</v>
          </cell>
          <cell r="CQ10" t="str">
            <v>-</v>
          </cell>
          <cell r="CR10" t="str">
            <v>-</v>
          </cell>
          <cell r="CS10" t="str">
            <v>-</v>
          </cell>
          <cell r="CT10" t="str">
            <v>-</v>
          </cell>
          <cell r="CU10" t="str">
            <v>-</v>
          </cell>
          <cell r="CV10" t="str">
            <v>-</v>
          </cell>
          <cell r="CW10" t="str">
            <v>-</v>
          </cell>
          <cell r="CX10" t="str">
            <v>-</v>
          </cell>
          <cell r="CY10" t="str">
            <v>-</v>
          </cell>
          <cell r="CZ10" t="str">
            <v>-</v>
          </cell>
          <cell r="DA10" t="str">
            <v>-</v>
          </cell>
          <cell r="DB10" t="str">
            <v>-</v>
          </cell>
          <cell r="DC10" t="str">
            <v>-</v>
          </cell>
          <cell r="DD10" t="str">
            <v>-</v>
          </cell>
          <cell r="DE10" t="str">
            <v>-</v>
          </cell>
          <cell r="DF10" t="str">
            <v>-</v>
          </cell>
          <cell r="DG10" t="str">
            <v>-</v>
          </cell>
          <cell r="DH10" t="str">
            <v>-</v>
          </cell>
          <cell r="DI10" t="str">
            <v>-</v>
          </cell>
          <cell r="DJ10" t="str">
            <v>-</v>
          </cell>
          <cell r="DK10" t="str">
            <v>-</v>
          </cell>
          <cell r="DL10" t="str">
            <v>-</v>
          </cell>
          <cell r="DM10" t="str">
            <v>-</v>
          </cell>
          <cell r="DN10" t="str">
            <v>-</v>
          </cell>
          <cell r="DO10" t="str">
            <v>-</v>
          </cell>
          <cell r="DP10">
            <v>0</v>
          </cell>
          <cell r="DQ10">
            <v>7</v>
          </cell>
          <cell r="DR10">
            <v>80</v>
          </cell>
          <cell r="DS10">
            <v>40</v>
          </cell>
          <cell r="DT10">
            <v>31.5</v>
          </cell>
          <cell r="DU10">
            <v>20</v>
          </cell>
          <cell r="DV10">
            <v>16</v>
          </cell>
          <cell r="DW10">
            <v>8</v>
          </cell>
          <cell r="DX10">
            <v>4</v>
          </cell>
          <cell r="DY10">
            <v>2</v>
          </cell>
          <cell r="DZ10">
            <v>6.3E-2</v>
          </cell>
          <cell r="EA10" t="str">
            <v>≤</v>
          </cell>
          <cell r="EB10">
            <v>1</v>
          </cell>
          <cell r="EC10" t="str">
            <v>≤</v>
          </cell>
          <cell r="ED10">
            <v>2</v>
          </cell>
          <cell r="EE10" t="str">
            <v>-</v>
          </cell>
          <cell r="EF10" t="str">
            <v>-</v>
          </cell>
          <cell r="EG10" t="str">
            <v>-</v>
          </cell>
          <cell r="EH10" t="str">
            <v>-</v>
          </cell>
          <cell r="EI10" t="str">
            <v>≤</v>
          </cell>
          <cell r="EJ10">
            <v>30</v>
          </cell>
          <cell r="EK10" t="str">
            <v>≤</v>
          </cell>
          <cell r="EL10">
            <v>10</v>
          </cell>
          <cell r="EM10" t="str">
            <v>≥</v>
          </cell>
          <cell r="EN10">
            <v>70</v>
          </cell>
          <cell r="EO10" t="str">
            <v>-</v>
          </cell>
          <cell r="EP10" t="str">
            <v>-</v>
          </cell>
          <cell r="EQ10" t="str">
            <v>-</v>
          </cell>
          <cell r="ER10" t="str">
            <v>-</v>
          </cell>
          <cell r="ES10" t="str">
            <v>X</v>
          </cell>
          <cell r="ET10" t="str">
            <v>Rg</v>
          </cell>
          <cell r="EU10" t="str">
            <v>Rcug</v>
          </cell>
          <cell r="EV10" t="str">
            <v>Rb</v>
          </cell>
          <cell r="EW10" t="str">
            <v>Ra</v>
          </cell>
          <cell r="EX10" t="str">
            <v>-</v>
          </cell>
          <cell r="EY10" t="str">
            <v>-</v>
          </cell>
          <cell r="EZ10" t="str">
            <v>-</v>
          </cell>
        </row>
        <row r="11">
          <cell r="A11" t="str">
            <v>B8 Asfaltgranulaat 0/56 mm GA75 GTANR f7 MBF10</v>
          </cell>
          <cell r="B11">
            <v>100</v>
          </cell>
          <cell r="C11">
            <v>100</v>
          </cell>
          <cell r="D11" t="str">
            <v>-</v>
          </cell>
          <cell r="E11" t="str">
            <v>-</v>
          </cell>
          <cell r="F11">
            <v>85</v>
          </cell>
          <cell r="G11">
            <v>99</v>
          </cell>
          <cell r="H11" t="str">
            <v>-</v>
          </cell>
          <cell r="I11" t="str">
            <v>-</v>
          </cell>
          <cell r="J11" t="str">
            <v>-</v>
          </cell>
          <cell r="K11" t="str">
            <v>-</v>
          </cell>
          <cell r="L11">
            <v>50</v>
          </cell>
          <cell r="M11">
            <v>90</v>
          </cell>
          <cell r="N11" t="str">
            <v>-</v>
          </cell>
          <cell r="O11" t="str">
            <v>-</v>
          </cell>
          <cell r="P11" t="str">
            <v>-</v>
          </cell>
          <cell r="Q11" t="str">
            <v>-</v>
          </cell>
          <cell r="R11">
            <v>30</v>
          </cell>
          <cell r="S11">
            <v>75</v>
          </cell>
          <cell r="T11" t="str">
            <v>-</v>
          </cell>
          <cell r="U11" t="str">
            <v>-</v>
          </cell>
          <cell r="V11" t="str">
            <v>-</v>
          </cell>
          <cell r="W11" t="str">
            <v>-</v>
          </cell>
          <cell r="X11" t="str">
            <v>-</v>
          </cell>
          <cell r="Y11" t="str">
            <v>-</v>
          </cell>
          <cell r="Z11">
            <v>15</v>
          </cell>
          <cell r="AA11">
            <v>60</v>
          </cell>
          <cell r="AB11" t="str">
            <v>-</v>
          </cell>
          <cell r="AC11" t="str">
            <v>-</v>
          </cell>
          <cell r="AD11" t="str">
            <v>-</v>
          </cell>
          <cell r="AE11" t="str">
            <v>-</v>
          </cell>
          <cell r="AF11" t="str">
            <v>-</v>
          </cell>
          <cell r="AG11" t="str">
            <v>-</v>
          </cell>
          <cell r="AH11" t="str">
            <v>-</v>
          </cell>
          <cell r="AI11" t="str">
            <v>-</v>
          </cell>
          <cell r="AJ11" t="str">
            <v>-</v>
          </cell>
          <cell r="AK11" t="str">
            <v>-</v>
          </cell>
          <cell r="AL11" t="str">
            <v>-</v>
          </cell>
          <cell r="AM11" t="str">
            <v>-</v>
          </cell>
          <cell r="AN11">
            <v>0</v>
          </cell>
          <cell r="AO11">
            <v>7</v>
          </cell>
          <cell r="AP11" t="str">
            <v>-</v>
          </cell>
          <cell r="AQ11" t="str">
            <v>-</v>
          </cell>
          <cell r="AR11" t="str">
            <v>-</v>
          </cell>
          <cell r="AS11" t="str">
            <v>-</v>
          </cell>
          <cell r="AT11" t="str">
            <v>-</v>
          </cell>
          <cell r="AU11" t="str">
            <v>-</v>
          </cell>
          <cell r="AV11" t="str">
            <v>-</v>
          </cell>
          <cell r="AW11" t="str">
            <v>-</v>
          </cell>
          <cell r="AX11" t="str">
            <v>-</v>
          </cell>
          <cell r="AY11" t="str">
            <v>-</v>
          </cell>
          <cell r="AZ11" t="str">
            <v>-</v>
          </cell>
          <cell r="BA11" t="str">
            <v>-</v>
          </cell>
          <cell r="BB11" t="str">
            <v>-</v>
          </cell>
          <cell r="BC11" t="str">
            <v>-</v>
          </cell>
          <cell r="BD11" t="str">
            <v>-</v>
          </cell>
          <cell r="BE11" t="str">
            <v>-</v>
          </cell>
          <cell r="BF11" t="str">
            <v>-</v>
          </cell>
          <cell r="BG11" t="str">
            <v>-</v>
          </cell>
          <cell r="BH11" t="str">
            <v>-</v>
          </cell>
          <cell r="BI11" t="str">
            <v>-</v>
          </cell>
          <cell r="BJ11" t="str">
            <v>-</v>
          </cell>
          <cell r="BK11" t="str">
            <v>-</v>
          </cell>
          <cell r="BL11" t="str">
            <v>-</v>
          </cell>
          <cell r="BM11" t="str">
            <v>-</v>
          </cell>
          <cell r="BN11" t="str">
            <v>-</v>
          </cell>
          <cell r="BO11" t="str">
            <v>-</v>
          </cell>
          <cell r="BP11" t="str">
            <v>-</v>
          </cell>
          <cell r="BQ11" t="str">
            <v>-</v>
          </cell>
          <cell r="BR11" t="str">
            <v>-</v>
          </cell>
          <cell r="BS11" t="str">
            <v>-</v>
          </cell>
          <cell r="BT11" t="str">
            <v>-</v>
          </cell>
          <cell r="BU11" t="str">
            <v>-</v>
          </cell>
          <cell r="BV11" t="str">
            <v>-</v>
          </cell>
          <cell r="BW11" t="str">
            <v>-</v>
          </cell>
          <cell r="BX11" t="str">
            <v>-</v>
          </cell>
          <cell r="BY11" t="str">
            <v>-</v>
          </cell>
          <cell r="BZ11" t="str">
            <v>-</v>
          </cell>
          <cell r="CA11" t="str">
            <v>-</v>
          </cell>
          <cell r="CB11" t="str">
            <v>-</v>
          </cell>
          <cell r="CC11" t="str">
            <v>-</v>
          </cell>
          <cell r="CD11">
            <v>100</v>
          </cell>
          <cell r="CE11">
            <v>100</v>
          </cell>
          <cell r="CF11" t="str">
            <v>-</v>
          </cell>
          <cell r="CG11" t="str">
            <v>-</v>
          </cell>
          <cell r="CH11" t="str">
            <v>-</v>
          </cell>
          <cell r="CI11" t="str">
            <v>-</v>
          </cell>
          <cell r="CJ11" t="str">
            <v>-</v>
          </cell>
          <cell r="CK11" t="str">
            <v>-</v>
          </cell>
          <cell r="CL11">
            <v>75</v>
          </cell>
          <cell r="CM11">
            <v>99</v>
          </cell>
          <cell r="CN11" t="str">
            <v>-</v>
          </cell>
          <cell r="CO11" t="str">
            <v>-</v>
          </cell>
          <cell r="CP11" t="str">
            <v>-</v>
          </cell>
          <cell r="CQ11" t="str">
            <v>-</v>
          </cell>
          <cell r="CR11" t="str">
            <v>-</v>
          </cell>
          <cell r="CS11" t="str">
            <v>-</v>
          </cell>
          <cell r="CT11" t="str">
            <v>-</v>
          </cell>
          <cell r="CU11" t="str">
            <v>-</v>
          </cell>
          <cell r="CV11" t="str">
            <v>-</v>
          </cell>
          <cell r="CW11" t="str">
            <v>-</v>
          </cell>
          <cell r="CX11" t="str">
            <v>-</v>
          </cell>
          <cell r="CY11" t="str">
            <v>-</v>
          </cell>
          <cell r="CZ11" t="str">
            <v>-</v>
          </cell>
          <cell r="DA11" t="str">
            <v>-</v>
          </cell>
          <cell r="DB11" t="str">
            <v>-</v>
          </cell>
          <cell r="DC11" t="str">
            <v>-</v>
          </cell>
          <cell r="DD11" t="str">
            <v>-</v>
          </cell>
          <cell r="DE11" t="str">
            <v>-</v>
          </cell>
          <cell r="DF11" t="str">
            <v>-</v>
          </cell>
          <cell r="DG11" t="str">
            <v>-</v>
          </cell>
          <cell r="DH11" t="str">
            <v>-</v>
          </cell>
          <cell r="DI11" t="str">
            <v>-</v>
          </cell>
          <cell r="DJ11" t="str">
            <v>-</v>
          </cell>
          <cell r="DK11" t="str">
            <v>-</v>
          </cell>
          <cell r="DL11" t="str">
            <v>-</v>
          </cell>
          <cell r="DM11" t="str">
            <v>-</v>
          </cell>
          <cell r="DN11" t="str">
            <v>-</v>
          </cell>
          <cell r="DO11" t="str">
            <v>-</v>
          </cell>
          <cell r="DP11">
            <v>0</v>
          </cell>
          <cell r="DQ11">
            <v>7</v>
          </cell>
          <cell r="DR11">
            <v>80</v>
          </cell>
          <cell r="DS11">
            <v>56</v>
          </cell>
          <cell r="DT11">
            <v>32</v>
          </cell>
          <cell r="DU11">
            <v>20</v>
          </cell>
          <cell r="DV11">
            <v>16</v>
          </cell>
          <cell r="DW11">
            <v>8</v>
          </cell>
          <cell r="DX11">
            <v>4</v>
          </cell>
          <cell r="DY11">
            <v>2</v>
          </cell>
          <cell r="DZ11">
            <v>6.3E-2</v>
          </cell>
          <cell r="EA11" t="str">
            <v>≤</v>
          </cell>
          <cell r="EB11">
            <v>1</v>
          </cell>
          <cell r="EC11" t="str">
            <v>≤</v>
          </cell>
          <cell r="ED11">
            <v>2</v>
          </cell>
          <cell r="EE11" t="str">
            <v>-</v>
          </cell>
          <cell r="EF11" t="str">
            <v>-</v>
          </cell>
          <cell r="EG11" t="str">
            <v>-</v>
          </cell>
          <cell r="EH11" t="str">
            <v>-</v>
          </cell>
          <cell r="EI11" t="str">
            <v>≤</v>
          </cell>
          <cell r="EJ11">
            <v>30</v>
          </cell>
          <cell r="EK11" t="str">
            <v>≤</v>
          </cell>
          <cell r="EL11">
            <v>10</v>
          </cell>
          <cell r="EM11" t="str">
            <v>≥</v>
          </cell>
          <cell r="EN11">
            <v>70</v>
          </cell>
          <cell r="EO11" t="str">
            <v>-</v>
          </cell>
          <cell r="EP11" t="str">
            <v>-</v>
          </cell>
          <cell r="EQ11" t="str">
            <v>-</v>
          </cell>
          <cell r="ER11" t="str">
            <v>-</v>
          </cell>
          <cell r="ES11" t="str">
            <v>X</v>
          </cell>
          <cell r="ET11" t="str">
            <v>Rg</v>
          </cell>
          <cell r="EU11" t="str">
            <v>Rcug</v>
          </cell>
          <cell r="EV11" t="str">
            <v>Rb</v>
          </cell>
          <cell r="EW11" t="str">
            <v>Ra</v>
          </cell>
          <cell r="EX11" t="str">
            <v>-</v>
          </cell>
          <cell r="EY11" t="str">
            <v>-</v>
          </cell>
          <cell r="EZ11" t="str">
            <v>-</v>
          </cell>
        </row>
        <row r="12">
          <cell r="A12" t="str">
            <v>C1 Betongranulaat 0/40 mm GA85 GTA20 f7 MBF10 FI35 C50/10</v>
          </cell>
          <cell r="B12" t="str">
            <v>-</v>
          </cell>
          <cell r="C12" t="str">
            <v>-</v>
          </cell>
          <cell r="D12" t="str">
            <v>-</v>
          </cell>
          <cell r="E12" t="str">
            <v>-</v>
          </cell>
          <cell r="F12">
            <v>100</v>
          </cell>
          <cell r="G12">
            <v>100</v>
          </cell>
          <cell r="H12" t="str">
            <v>-</v>
          </cell>
          <cell r="I12" t="str">
            <v>-</v>
          </cell>
          <cell r="J12">
            <v>90</v>
          </cell>
          <cell r="K12">
            <v>99</v>
          </cell>
          <cell r="L12" t="str">
            <v>-</v>
          </cell>
          <cell r="M12" t="str">
            <v>-</v>
          </cell>
          <cell r="N12" t="str">
            <v>-</v>
          </cell>
          <cell r="O12" t="str">
            <v>-</v>
          </cell>
          <cell r="P12">
            <v>55</v>
          </cell>
          <cell r="Q12">
            <v>85</v>
          </cell>
          <cell r="R12" t="str">
            <v>-</v>
          </cell>
          <cell r="S12" t="str">
            <v>-</v>
          </cell>
          <cell r="T12" t="str">
            <v>-</v>
          </cell>
          <cell r="U12" t="str">
            <v>-</v>
          </cell>
          <cell r="V12" t="str">
            <v>-</v>
          </cell>
          <cell r="W12" t="str">
            <v>-</v>
          </cell>
          <cell r="X12">
            <v>35</v>
          </cell>
          <cell r="Y12">
            <v>65</v>
          </cell>
          <cell r="Z12" t="str">
            <v>-</v>
          </cell>
          <cell r="AA12" t="str">
            <v>-</v>
          </cell>
          <cell r="AB12" t="str">
            <v>-</v>
          </cell>
          <cell r="AC12" t="str">
            <v>-</v>
          </cell>
          <cell r="AD12" t="str">
            <v>-</v>
          </cell>
          <cell r="AE12" t="str">
            <v>-</v>
          </cell>
          <cell r="AF12">
            <v>22</v>
          </cell>
          <cell r="AG12">
            <v>50</v>
          </cell>
          <cell r="AH12">
            <v>15</v>
          </cell>
          <cell r="AI12">
            <v>40</v>
          </cell>
          <cell r="AJ12">
            <v>10</v>
          </cell>
          <cell r="AK12">
            <v>35</v>
          </cell>
          <cell r="AL12">
            <v>0</v>
          </cell>
          <cell r="AM12">
            <v>20</v>
          </cell>
          <cell r="AN12">
            <v>0</v>
          </cell>
          <cell r="AO12">
            <v>7</v>
          </cell>
          <cell r="AP12" t="str">
            <v>-</v>
          </cell>
          <cell r="AQ12" t="str">
            <v>-</v>
          </cell>
          <cell r="AR12" t="str">
            <v>-</v>
          </cell>
          <cell r="AS12" t="str">
            <v>-</v>
          </cell>
          <cell r="AT12" t="str">
            <v>-</v>
          </cell>
          <cell r="AU12" t="str">
            <v>-</v>
          </cell>
          <cell r="AV12" t="str">
            <v>-</v>
          </cell>
          <cell r="AW12" t="str">
            <v>-</v>
          </cell>
          <cell r="AX12" t="str">
            <v>-</v>
          </cell>
          <cell r="AY12" t="str">
            <v>-</v>
          </cell>
          <cell r="AZ12" t="str">
            <v>-</v>
          </cell>
          <cell r="BA12" t="str">
            <v>-</v>
          </cell>
          <cell r="BB12" t="str">
            <v>-</v>
          </cell>
          <cell r="BC12" t="str">
            <v>-</v>
          </cell>
          <cell r="BD12" t="str">
            <v>-</v>
          </cell>
          <cell r="BE12" t="str">
            <v>-</v>
          </cell>
          <cell r="BF12" t="str">
            <v>-</v>
          </cell>
          <cell r="BG12" t="str">
            <v>-</v>
          </cell>
          <cell r="BH12" t="str">
            <v>-</v>
          </cell>
          <cell r="BI12" t="str">
            <v>-</v>
          </cell>
          <cell r="BJ12" t="str">
            <v>-</v>
          </cell>
          <cell r="BK12" t="str">
            <v>-</v>
          </cell>
          <cell r="BL12" t="str">
            <v>-</v>
          </cell>
          <cell r="BM12" t="str">
            <v>-</v>
          </cell>
          <cell r="BN12" t="str">
            <v>-</v>
          </cell>
          <cell r="BO12" t="str">
            <v>-</v>
          </cell>
          <cell r="BP12" t="str">
            <v>-</v>
          </cell>
          <cell r="BQ12" t="str">
            <v>-</v>
          </cell>
          <cell r="BR12" t="str">
            <v>-</v>
          </cell>
          <cell r="BS12" t="str">
            <v>-</v>
          </cell>
          <cell r="BT12" t="str">
            <v>-</v>
          </cell>
          <cell r="BU12" t="str">
            <v>-</v>
          </cell>
          <cell r="BV12" t="str">
            <v>-</v>
          </cell>
          <cell r="BW12" t="str">
            <v>-</v>
          </cell>
          <cell r="BX12" t="str">
            <v>-</v>
          </cell>
          <cell r="BY12" t="str">
            <v>-</v>
          </cell>
          <cell r="BZ12" t="str">
            <v>-</v>
          </cell>
          <cell r="CA12" t="str">
            <v>-</v>
          </cell>
          <cell r="CB12" t="str">
            <v>-</v>
          </cell>
          <cell r="CC12" t="str">
            <v>-</v>
          </cell>
          <cell r="CD12" t="str">
            <v>-</v>
          </cell>
          <cell r="CE12" t="str">
            <v>-</v>
          </cell>
          <cell r="CF12" t="str">
            <v>-</v>
          </cell>
          <cell r="CG12" t="str">
            <v>-</v>
          </cell>
          <cell r="CH12">
            <v>100</v>
          </cell>
          <cell r="CI12">
            <v>100</v>
          </cell>
          <cell r="CJ12" t="str">
            <v>-</v>
          </cell>
          <cell r="CK12" t="str">
            <v>-</v>
          </cell>
          <cell r="CL12">
            <v>89</v>
          </cell>
          <cell r="CM12">
            <v>99</v>
          </cell>
          <cell r="CN12" t="str">
            <v>-</v>
          </cell>
          <cell r="CO12" t="str">
            <v>-</v>
          </cell>
          <cell r="CP12" t="str">
            <v>-</v>
          </cell>
          <cell r="CQ12" t="str">
            <v>-</v>
          </cell>
          <cell r="CR12">
            <v>50</v>
          </cell>
          <cell r="CS12">
            <v>90</v>
          </cell>
          <cell r="CT12" t="str">
            <v>-</v>
          </cell>
          <cell r="CU12" t="str">
            <v>-</v>
          </cell>
          <cell r="CV12" t="str">
            <v>-</v>
          </cell>
          <cell r="CW12" t="str">
            <v>-</v>
          </cell>
          <cell r="CX12" t="str">
            <v>-</v>
          </cell>
          <cell r="CY12" t="str">
            <v>-</v>
          </cell>
          <cell r="CZ12" t="str">
            <v>-</v>
          </cell>
          <cell r="DA12" t="str">
            <v>-</v>
          </cell>
          <cell r="DB12" t="str">
            <v>-</v>
          </cell>
          <cell r="DC12" t="str">
            <v>-</v>
          </cell>
          <cell r="DD12" t="str">
            <v>-</v>
          </cell>
          <cell r="DE12" t="str">
            <v>-</v>
          </cell>
          <cell r="DF12" t="str">
            <v>-</v>
          </cell>
          <cell r="DG12" t="str">
            <v>-</v>
          </cell>
          <cell r="DH12" t="str">
            <v>-</v>
          </cell>
          <cell r="DI12" t="str">
            <v>-</v>
          </cell>
          <cell r="DJ12" t="str">
            <v>-</v>
          </cell>
          <cell r="DK12" t="str">
            <v>-</v>
          </cell>
          <cell r="DL12" t="str">
            <v>-</v>
          </cell>
          <cell r="DM12" t="str">
            <v>-</v>
          </cell>
          <cell r="DN12" t="str">
            <v>-</v>
          </cell>
          <cell r="DO12" t="str">
            <v>-</v>
          </cell>
          <cell r="DP12">
            <v>0</v>
          </cell>
          <cell r="DQ12">
            <v>7</v>
          </cell>
          <cell r="DR12">
            <v>56</v>
          </cell>
          <cell r="DS12">
            <v>40</v>
          </cell>
          <cell r="DT12">
            <v>20</v>
          </cell>
          <cell r="DU12">
            <v>10</v>
          </cell>
          <cell r="DV12">
            <v>4</v>
          </cell>
          <cell r="DW12">
            <v>2</v>
          </cell>
          <cell r="DX12">
            <v>1</v>
          </cell>
          <cell r="DY12">
            <v>0.5</v>
          </cell>
          <cell r="DZ12">
            <v>6.3E-2</v>
          </cell>
          <cell r="EA12" t="str">
            <v>≤</v>
          </cell>
          <cell r="EB12">
            <v>1</v>
          </cell>
          <cell r="EC12" t="str">
            <v>≤</v>
          </cell>
          <cell r="ED12">
            <v>2</v>
          </cell>
          <cell r="EE12" t="str">
            <v>≥</v>
          </cell>
          <cell r="EF12">
            <v>70</v>
          </cell>
          <cell r="EG12" t="str">
            <v>-</v>
          </cell>
          <cell r="EH12" t="str">
            <v>-</v>
          </cell>
          <cell r="EI12" t="str">
            <v>≥</v>
          </cell>
          <cell r="EJ12">
            <v>90</v>
          </cell>
          <cell r="EK12" t="str">
            <v>≤</v>
          </cell>
          <cell r="EL12">
            <v>10</v>
          </cell>
          <cell r="EM12" t="str">
            <v>≤</v>
          </cell>
          <cell r="EN12">
            <v>5</v>
          </cell>
          <cell r="EO12" t="str">
            <v>-</v>
          </cell>
          <cell r="EP12" t="str">
            <v>-</v>
          </cell>
          <cell r="EQ12" t="str">
            <v>-</v>
          </cell>
          <cell r="ER12" t="str">
            <v>-</v>
          </cell>
          <cell r="ES12" t="str">
            <v>X</v>
          </cell>
          <cell r="ET12" t="str">
            <v>Rg</v>
          </cell>
          <cell r="EU12" t="str">
            <v>Rc</v>
          </cell>
          <cell r="EV12" t="str">
            <v>Rcug</v>
          </cell>
          <cell r="EW12" t="str">
            <v>Rb</v>
          </cell>
          <cell r="EX12" t="str">
            <v>Ra</v>
          </cell>
          <cell r="EY12" t="str">
            <v>-</v>
          </cell>
          <cell r="EZ12" t="str">
            <v>-</v>
          </cell>
        </row>
        <row r="13">
          <cell r="A13" t="str">
            <v>C2 Betongranulaat 0/20 mm GA75 GTANR f7 MBF10 FI35 C50/10</v>
          </cell>
          <cell r="B13" t="str">
            <v>-</v>
          </cell>
          <cell r="C13" t="str">
            <v>-</v>
          </cell>
          <cell r="D13" t="str">
            <v>-</v>
          </cell>
          <cell r="E13" t="str">
            <v>-</v>
          </cell>
          <cell r="F13" t="str">
            <v>-</v>
          </cell>
          <cell r="G13" t="str">
            <v>-</v>
          </cell>
          <cell r="H13" t="str">
            <v>-</v>
          </cell>
          <cell r="I13" t="str">
            <v>-</v>
          </cell>
          <cell r="J13">
            <v>100</v>
          </cell>
          <cell r="K13">
            <v>100</v>
          </cell>
          <cell r="L13" t="str">
            <v>-</v>
          </cell>
          <cell r="M13" t="str">
            <v>-</v>
          </cell>
          <cell r="N13" t="str">
            <v>-</v>
          </cell>
          <cell r="O13" t="str">
            <v>-</v>
          </cell>
          <cell r="P13">
            <v>80</v>
          </cell>
          <cell r="Q13">
            <v>99</v>
          </cell>
          <cell r="R13" t="str">
            <v>-</v>
          </cell>
          <cell r="S13" t="str">
            <v>-</v>
          </cell>
          <cell r="T13" t="str">
            <v>-</v>
          </cell>
          <cell r="U13" t="str">
            <v>-</v>
          </cell>
          <cell r="V13" t="str">
            <v>-</v>
          </cell>
          <cell r="W13" t="str">
            <v>-</v>
          </cell>
          <cell r="X13">
            <v>55</v>
          </cell>
          <cell r="Y13">
            <v>85</v>
          </cell>
          <cell r="Z13" t="str">
            <v>-</v>
          </cell>
          <cell r="AA13" t="str">
            <v>-</v>
          </cell>
          <cell r="AB13" t="str">
            <v>-</v>
          </cell>
          <cell r="AC13" t="str">
            <v>-</v>
          </cell>
          <cell r="AD13" t="str">
            <v>-</v>
          </cell>
          <cell r="AE13" t="str">
            <v>-</v>
          </cell>
          <cell r="AF13">
            <v>35</v>
          </cell>
          <cell r="AG13">
            <v>65</v>
          </cell>
          <cell r="AH13">
            <v>22</v>
          </cell>
          <cell r="AI13">
            <v>50</v>
          </cell>
          <cell r="AJ13">
            <v>15</v>
          </cell>
          <cell r="AK13">
            <v>40</v>
          </cell>
          <cell r="AL13">
            <v>10</v>
          </cell>
          <cell r="AM13">
            <v>35</v>
          </cell>
          <cell r="AN13">
            <v>0</v>
          </cell>
          <cell r="AO13">
            <v>7</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cell r="CJ13" t="str">
            <v>-</v>
          </cell>
          <cell r="CK13" t="str">
            <v>-</v>
          </cell>
          <cell r="CL13">
            <v>100</v>
          </cell>
          <cell r="CM13">
            <v>100</v>
          </cell>
          <cell r="CN13" t="str">
            <v>-</v>
          </cell>
          <cell r="CO13" t="str">
            <v>-</v>
          </cell>
          <cell r="CP13" t="str">
            <v>-</v>
          </cell>
          <cell r="CQ13" t="str">
            <v>-</v>
          </cell>
          <cell r="CR13">
            <v>75</v>
          </cell>
          <cell r="CS13">
            <v>99</v>
          </cell>
          <cell r="CT13" t="str">
            <v>-</v>
          </cell>
          <cell r="CU13" t="str">
            <v>-</v>
          </cell>
          <cell r="CV13" t="str">
            <v>-</v>
          </cell>
          <cell r="CW13" t="str">
            <v>-</v>
          </cell>
          <cell r="CX13" t="str">
            <v>-</v>
          </cell>
          <cell r="CY13" t="str">
            <v>-</v>
          </cell>
          <cell r="CZ13" t="str">
            <v>-</v>
          </cell>
          <cell r="DA13" t="str">
            <v>-</v>
          </cell>
          <cell r="DB13" t="str">
            <v>-</v>
          </cell>
          <cell r="DC13" t="str">
            <v>-</v>
          </cell>
          <cell r="DD13" t="str">
            <v>-</v>
          </cell>
          <cell r="DE13" t="str">
            <v>-</v>
          </cell>
          <cell r="DF13" t="str">
            <v>-</v>
          </cell>
          <cell r="DG13" t="str">
            <v>-</v>
          </cell>
          <cell r="DH13" t="str">
            <v>-</v>
          </cell>
          <cell r="DI13" t="str">
            <v>-</v>
          </cell>
          <cell r="DJ13" t="str">
            <v>-</v>
          </cell>
          <cell r="DK13" t="str">
            <v>-</v>
          </cell>
          <cell r="DL13" t="str">
            <v>-</v>
          </cell>
          <cell r="DM13" t="str">
            <v>-</v>
          </cell>
          <cell r="DN13" t="str">
            <v>-</v>
          </cell>
          <cell r="DO13" t="str">
            <v>-</v>
          </cell>
          <cell r="DP13">
            <v>0</v>
          </cell>
          <cell r="DQ13">
            <v>7</v>
          </cell>
          <cell r="DR13">
            <v>40</v>
          </cell>
          <cell r="DS13">
            <v>31.5</v>
          </cell>
          <cell r="DT13">
            <v>20</v>
          </cell>
          <cell r="DU13">
            <v>10</v>
          </cell>
          <cell r="DV13">
            <v>4</v>
          </cell>
          <cell r="DW13">
            <v>2</v>
          </cell>
          <cell r="DX13">
            <v>1</v>
          </cell>
          <cell r="DY13">
            <v>0.5</v>
          </cell>
          <cell r="DZ13">
            <v>6.3E-2</v>
          </cell>
          <cell r="EA13" t="str">
            <v>≤</v>
          </cell>
          <cell r="EB13">
            <v>1</v>
          </cell>
          <cell r="EC13" t="str">
            <v>≤</v>
          </cell>
          <cell r="ED13">
            <v>2</v>
          </cell>
          <cell r="EE13" t="str">
            <v>≥</v>
          </cell>
          <cell r="EF13">
            <v>70</v>
          </cell>
          <cell r="EG13" t="str">
            <v>-</v>
          </cell>
          <cell r="EH13" t="str">
            <v>-</v>
          </cell>
          <cell r="EI13" t="str">
            <v>≥</v>
          </cell>
          <cell r="EJ13">
            <v>90</v>
          </cell>
          <cell r="EK13" t="str">
            <v>≤</v>
          </cell>
          <cell r="EL13">
            <v>10</v>
          </cell>
          <cell r="EM13" t="str">
            <v>≤</v>
          </cell>
          <cell r="EN13">
            <v>5</v>
          </cell>
          <cell r="EO13" t="str">
            <v>-</v>
          </cell>
          <cell r="EP13" t="str">
            <v>-</v>
          </cell>
          <cell r="EQ13" t="str">
            <v>-</v>
          </cell>
          <cell r="ER13" t="str">
            <v>-</v>
          </cell>
          <cell r="ES13" t="str">
            <v>X</v>
          </cell>
          <cell r="ET13" t="str">
            <v>Rg</v>
          </cell>
          <cell r="EU13" t="str">
            <v>Rc</v>
          </cell>
          <cell r="EV13" t="str">
            <v>Rcug</v>
          </cell>
          <cell r="EW13" t="str">
            <v>Rb</v>
          </cell>
          <cell r="EX13" t="str">
            <v>Ra</v>
          </cell>
          <cell r="EY13" t="str">
            <v>-</v>
          </cell>
          <cell r="EZ13" t="str">
            <v>-</v>
          </cell>
        </row>
        <row r="14">
          <cell r="A14" t="str">
            <v>D3 Menggranulaat 0/40 mm GA85 GTA20 f7 MBF10 FI35 C50/10</v>
          </cell>
          <cell r="B14" t="str">
            <v>-</v>
          </cell>
          <cell r="C14" t="str">
            <v>-</v>
          </cell>
          <cell r="D14" t="str">
            <v>-</v>
          </cell>
          <cell r="E14" t="str">
            <v>-</v>
          </cell>
          <cell r="F14">
            <v>100</v>
          </cell>
          <cell r="G14">
            <v>100</v>
          </cell>
          <cell r="H14" t="str">
            <v>-</v>
          </cell>
          <cell r="I14" t="str">
            <v>-</v>
          </cell>
          <cell r="J14">
            <v>90</v>
          </cell>
          <cell r="K14">
            <v>99</v>
          </cell>
          <cell r="L14" t="str">
            <v>-</v>
          </cell>
          <cell r="M14" t="str">
            <v>-</v>
          </cell>
          <cell r="N14" t="str">
            <v>-</v>
          </cell>
          <cell r="O14" t="str">
            <v>-</v>
          </cell>
          <cell r="P14">
            <v>55</v>
          </cell>
          <cell r="Q14">
            <v>85</v>
          </cell>
          <cell r="R14" t="str">
            <v>-</v>
          </cell>
          <cell r="S14" t="str">
            <v>-</v>
          </cell>
          <cell r="T14" t="str">
            <v>-</v>
          </cell>
          <cell r="U14" t="str">
            <v>-</v>
          </cell>
          <cell r="V14" t="str">
            <v>-</v>
          </cell>
          <cell r="W14" t="str">
            <v>-</v>
          </cell>
          <cell r="X14">
            <v>35</v>
          </cell>
          <cell r="Y14">
            <v>65</v>
          </cell>
          <cell r="Z14" t="str">
            <v>-</v>
          </cell>
          <cell r="AA14" t="str">
            <v>-</v>
          </cell>
          <cell r="AB14" t="str">
            <v>-</v>
          </cell>
          <cell r="AC14" t="str">
            <v>-</v>
          </cell>
          <cell r="AD14" t="str">
            <v>-</v>
          </cell>
          <cell r="AE14" t="str">
            <v>-</v>
          </cell>
          <cell r="AF14">
            <v>22</v>
          </cell>
          <cell r="AG14">
            <v>50</v>
          </cell>
          <cell r="AH14">
            <v>15</v>
          </cell>
          <cell r="AI14">
            <v>40</v>
          </cell>
          <cell r="AJ14">
            <v>10</v>
          </cell>
          <cell r="AK14">
            <v>35</v>
          </cell>
          <cell r="AL14">
            <v>0</v>
          </cell>
          <cell r="AM14">
            <v>20</v>
          </cell>
          <cell r="AN14">
            <v>0</v>
          </cell>
          <cell r="AO14">
            <v>7</v>
          </cell>
          <cell r="AP14" t="str">
            <v>-</v>
          </cell>
          <cell r="AQ14" t="str">
            <v>-</v>
          </cell>
          <cell r="AR14" t="str">
            <v>-</v>
          </cell>
          <cell r="AS14" t="str">
            <v>-</v>
          </cell>
          <cell r="AT14" t="str">
            <v>-</v>
          </cell>
          <cell r="AU14" t="str">
            <v>-</v>
          </cell>
          <cell r="AV14" t="str">
            <v>-</v>
          </cell>
          <cell r="AW14" t="str">
            <v>-</v>
          </cell>
          <cell r="AX14" t="str">
            <v>-</v>
          </cell>
          <cell r="AY14" t="str">
            <v>-</v>
          </cell>
          <cell r="AZ14" t="str">
            <v>-</v>
          </cell>
          <cell r="BA14" t="str">
            <v>-</v>
          </cell>
          <cell r="BB14" t="str">
            <v>-</v>
          </cell>
          <cell r="BC14" t="str">
            <v>-</v>
          </cell>
          <cell r="BD14" t="str">
            <v>-</v>
          </cell>
          <cell r="BE14" t="str">
            <v>-</v>
          </cell>
          <cell r="BF14" t="str">
            <v>-</v>
          </cell>
          <cell r="BG14" t="str">
            <v>-</v>
          </cell>
          <cell r="BH14" t="str">
            <v>-</v>
          </cell>
          <cell r="BI14" t="str">
            <v>-</v>
          </cell>
          <cell r="BJ14" t="str">
            <v>-</v>
          </cell>
          <cell r="BK14" t="str">
            <v>-</v>
          </cell>
          <cell r="BL14" t="str">
            <v>-</v>
          </cell>
          <cell r="BM14" t="str">
            <v>-</v>
          </cell>
          <cell r="BN14" t="str">
            <v>-</v>
          </cell>
          <cell r="BO14" t="str">
            <v>-</v>
          </cell>
          <cell r="BP14" t="str">
            <v>-</v>
          </cell>
          <cell r="BQ14" t="str">
            <v>-</v>
          </cell>
          <cell r="BR14" t="str">
            <v>-</v>
          </cell>
          <cell r="BS14" t="str">
            <v>-</v>
          </cell>
          <cell r="BT14" t="str">
            <v>-</v>
          </cell>
          <cell r="BU14" t="str">
            <v>-</v>
          </cell>
          <cell r="BV14" t="str">
            <v>-</v>
          </cell>
          <cell r="BW14" t="str">
            <v>-</v>
          </cell>
          <cell r="BX14" t="str">
            <v>-</v>
          </cell>
          <cell r="BY14" t="str">
            <v>-</v>
          </cell>
          <cell r="BZ14" t="str">
            <v>-</v>
          </cell>
          <cell r="CA14" t="str">
            <v>-</v>
          </cell>
          <cell r="CB14" t="str">
            <v>-</v>
          </cell>
          <cell r="CC14" t="str">
            <v>-</v>
          </cell>
          <cell r="CD14" t="str">
            <v>-</v>
          </cell>
          <cell r="CE14" t="str">
            <v>-</v>
          </cell>
          <cell r="CF14" t="str">
            <v>-</v>
          </cell>
          <cell r="CG14" t="str">
            <v>-</v>
          </cell>
          <cell r="CH14">
            <v>100</v>
          </cell>
          <cell r="CI14">
            <v>100</v>
          </cell>
          <cell r="CJ14" t="str">
            <v>-</v>
          </cell>
          <cell r="CK14" t="str">
            <v>-</v>
          </cell>
          <cell r="CL14">
            <v>89</v>
          </cell>
          <cell r="CM14">
            <v>99</v>
          </cell>
          <cell r="CN14" t="str">
            <v>-</v>
          </cell>
          <cell r="CO14" t="str">
            <v>-</v>
          </cell>
          <cell r="CP14" t="str">
            <v>-</v>
          </cell>
          <cell r="CQ14" t="str">
            <v>-</v>
          </cell>
          <cell r="CR14">
            <v>50</v>
          </cell>
          <cell r="CS14">
            <v>90</v>
          </cell>
          <cell r="CT14" t="str">
            <v>-</v>
          </cell>
          <cell r="CU14" t="str">
            <v>-</v>
          </cell>
          <cell r="CV14" t="str">
            <v>-</v>
          </cell>
          <cell r="CW14" t="str">
            <v>-</v>
          </cell>
          <cell r="CX14" t="str">
            <v>-</v>
          </cell>
          <cell r="CY14" t="str">
            <v>-</v>
          </cell>
          <cell r="CZ14" t="str">
            <v>-</v>
          </cell>
          <cell r="DA14" t="str">
            <v>-</v>
          </cell>
          <cell r="DB14" t="str">
            <v>-</v>
          </cell>
          <cell r="DC14" t="str">
            <v>-</v>
          </cell>
          <cell r="DD14" t="str">
            <v>-</v>
          </cell>
          <cell r="DE14" t="str">
            <v>-</v>
          </cell>
          <cell r="DF14" t="str">
            <v>-</v>
          </cell>
          <cell r="DG14" t="str">
            <v>-</v>
          </cell>
          <cell r="DH14" t="str">
            <v>-</v>
          </cell>
          <cell r="DI14" t="str">
            <v>-</v>
          </cell>
          <cell r="DJ14" t="str">
            <v>-</v>
          </cell>
          <cell r="DK14" t="str">
            <v>-</v>
          </cell>
          <cell r="DL14" t="str">
            <v>-</v>
          </cell>
          <cell r="DM14" t="str">
            <v>-</v>
          </cell>
          <cell r="DN14" t="str">
            <v>-</v>
          </cell>
          <cell r="DO14" t="str">
            <v>-</v>
          </cell>
          <cell r="DP14">
            <v>0</v>
          </cell>
          <cell r="DQ14">
            <v>7</v>
          </cell>
          <cell r="DR14">
            <v>56</v>
          </cell>
          <cell r="DS14">
            <v>40</v>
          </cell>
          <cell r="DT14">
            <v>20</v>
          </cell>
          <cell r="DU14">
            <v>10</v>
          </cell>
          <cell r="DV14">
            <v>4</v>
          </cell>
          <cell r="DW14">
            <v>2</v>
          </cell>
          <cell r="DX14">
            <v>1</v>
          </cell>
          <cell r="DY14">
            <v>0.5</v>
          </cell>
          <cell r="DZ14">
            <v>6.3E-2</v>
          </cell>
          <cell r="EA14" t="str">
            <v>≤</v>
          </cell>
          <cell r="EB14">
            <v>1</v>
          </cell>
          <cell r="EC14" t="str">
            <v>≤</v>
          </cell>
          <cell r="ED14">
            <v>2</v>
          </cell>
          <cell r="EE14" t="str">
            <v>-</v>
          </cell>
          <cell r="EF14" t="str">
            <v>-</v>
          </cell>
          <cell r="EG14" t="str">
            <v>-</v>
          </cell>
          <cell r="EH14" t="str">
            <v>-</v>
          </cell>
          <cell r="EI14" t="str">
            <v>≥</v>
          </cell>
          <cell r="EJ14">
            <v>50</v>
          </cell>
          <cell r="EK14" t="str">
            <v>≤</v>
          </cell>
          <cell r="EL14">
            <v>50</v>
          </cell>
          <cell r="EM14" t="str">
            <v>≤</v>
          </cell>
          <cell r="EN14">
            <v>5</v>
          </cell>
          <cell r="EO14" t="str">
            <v>-</v>
          </cell>
          <cell r="EP14" t="str">
            <v>-</v>
          </cell>
          <cell r="EQ14" t="str">
            <v>-</v>
          </cell>
          <cell r="ER14" t="str">
            <v>-</v>
          </cell>
          <cell r="ES14" t="str">
            <v>X</v>
          </cell>
          <cell r="ET14" t="str">
            <v>Rg</v>
          </cell>
          <cell r="EU14" t="str">
            <v>Rcug</v>
          </cell>
          <cell r="EV14" t="str">
            <v>Rb</v>
          </cell>
          <cell r="EW14" t="str">
            <v>Ra</v>
          </cell>
          <cell r="EX14" t="str">
            <v>-</v>
          </cell>
          <cell r="EY14" t="str">
            <v>-</v>
          </cell>
          <cell r="EZ14" t="str">
            <v>-</v>
          </cell>
        </row>
        <row r="15">
          <cell r="A15" t="str">
            <v>D4 Menggranulaat 0/20 mm GA75 GTANR f7 MBF10 FI35 C50/10</v>
          </cell>
          <cell r="B15" t="str">
            <v>-</v>
          </cell>
          <cell r="C15" t="str">
            <v>-</v>
          </cell>
          <cell r="D15" t="str">
            <v>-</v>
          </cell>
          <cell r="E15" t="str">
            <v>-</v>
          </cell>
          <cell r="F15" t="str">
            <v>-</v>
          </cell>
          <cell r="G15" t="str">
            <v>-</v>
          </cell>
          <cell r="H15" t="str">
            <v>-</v>
          </cell>
          <cell r="I15" t="str">
            <v>-</v>
          </cell>
          <cell r="J15">
            <v>100</v>
          </cell>
          <cell r="K15">
            <v>100</v>
          </cell>
          <cell r="L15" t="str">
            <v>-</v>
          </cell>
          <cell r="M15" t="str">
            <v>-</v>
          </cell>
          <cell r="N15" t="str">
            <v>-</v>
          </cell>
          <cell r="O15" t="str">
            <v>-</v>
          </cell>
          <cell r="P15">
            <v>80</v>
          </cell>
          <cell r="Q15">
            <v>99</v>
          </cell>
          <cell r="R15" t="str">
            <v>-</v>
          </cell>
          <cell r="S15" t="str">
            <v>-</v>
          </cell>
          <cell r="T15" t="str">
            <v>-</v>
          </cell>
          <cell r="U15" t="str">
            <v>-</v>
          </cell>
          <cell r="V15" t="str">
            <v>-</v>
          </cell>
          <cell r="W15" t="str">
            <v>-</v>
          </cell>
          <cell r="X15">
            <v>55</v>
          </cell>
          <cell r="Y15">
            <v>85</v>
          </cell>
          <cell r="Z15" t="str">
            <v>-</v>
          </cell>
          <cell r="AA15" t="str">
            <v>-</v>
          </cell>
          <cell r="AB15" t="str">
            <v>-</v>
          </cell>
          <cell r="AC15" t="str">
            <v>-</v>
          </cell>
          <cell r="AD15" t="str">
            <v>-</v>
          </cell>
          <cell r="AE15" t="str">
            <v>-</v>
          </cell>
          <cell r="AF15">
            <v>35</v>
          </cell>
          <cell r="AG15">
            <v>65</v>
          </cell>
          <cell r="AH15">
            <v>22</v>
          </cell>
          <cell r="AI15">
            <v>50</v>
          </cell>
          <cell r="AJ15">
            <v>15</v>
          </cell>
          <cell r="AK15">
            <v>40</v>
          </cell>
          <cell r="AL15">
            <v>10</v>
          </cell>
          <cell r="AM15">
            <v>35</v>
          </cell>
          <cell r="AN15">
            <v>0</v>
          </cell>
          <cell r="AO15">
            <v>7</v>
          </cell>
          <cell r="AP15" t="str">
            <v>-</v>
          </cell>
          <cell r="AQ15" t="str">
            <v>-</v>
          </cell>
          <cell r="AR15" t="str">
            <v>-</v>
          </cell>
          <cell r="AS15" t="str">
            <v>-</v>
          </cell>
          <cell r="AT15" t="str">
            <v>-</v>
          </cell>
          <cell r="AU15" t="str">
            <v>-</v>
          </cell>
          <cell r="AV15" t="str">
            <v>-</v>
          </cell>
          <cell r="AW15" t="str">
            <v>-</v>
          </cell>
          <cell r="AX15" t="str">
            <v>-</v>
          </cell>
          <cell r="AY15" t="str">
            <v>-</v>
          </cell>
          <cell r="AZ15" t="str">
            <v>-</v>
          </cell>
          <cell r="BA15" t="str">
            <v>-</v>
          </cell>
          <cell r="BB15" t="str">
            <v>-</v>
          </cell>
          <cell r="BC15" t="str">
            <v>-</v>
          </cell>
          <cell r="BD15" t="str">
            <v>-</v>
          </cell>
          <cell r="BE15" t="str">
            <v>-</v>
          </cell>
          <cell r="BF15" t="str">
            <v>-</v>
          </cell>
          <cell r="BG15" t="str">
            <v>-</v>
          </cell>
          <cell r="BH15" t="str">
            <v>-</v>
          </cell>
          <cell r="BI15" t="str">
            <v>-</v>
          </cell>
          <cell r="BJ15" t="str">
            <v>-</v>
          </cell>
          <cell r="BK15" t="str">
            <v>-</v>
          </cell>
          <cell r="BL15" t="str">
            <v>-</v>
          </cell>
          <cell r="BM15" t="str">
            <v>-</v>
          </cell>
          <cell r="BN15" t="str">
            <v>-</v>
          </cell>
          <cell r="BO15" t="str">
            <v>-</v>
          </cell>
          <cell r="BP15" t="str">
            <v>-</v>
          </cell>
          <cell r="BQ15" t="str">
            <v>-</v>
          </cell>
          <cell r="BR15" t="str">
            <v>-</v>
          </cell>
          <cell r="BS15" t="str">
            <v>-</v>
          </cell>
          <cell r="BT15" t="str">
            <v>-</v>
          </cell>
          <cell r="BU15" t="str">
            <v>-</v>
          </cell>
          <cell r="BV15" t="str">
            <v>-</v>
          </cell>
          <cell r="BW15" t="str">
            <v>-</v>
          </cell>
          <cell r="BX15" t="str">
            <v>-</v>
          </cell>
          <cell r="BY15" t="str">
            <v>-</v>
          </cell>
          <cell r="BZ15" t="str">
            <v>-</v>
          </cell>
          <cell r="CA15" t="str">
            <v>-</v>
          </cell>
          <cell r="CB15" t="str">
            <v>-</v>
          </cell>
          <cell r="CC15" t="str">
            <v>-</v>
          </cell>
          <cell r="CD15" t="str">
            <v>-</v>
          </cell>
          <cell r="CE15" t="str">
            <v>-</v>
          </cell>
          <cell r="CF15" t="str">
            <v>-</v>
          </cell>
          <cell r="CG15" t="str">
            <v>-</v>
          </cell>
          <cell r="CH15" t="str">
            <v>-</v>
          </cell>
          <cell r="CI15" t="str">
            <v>-</v>
          </cell>
          <cell r="CJ15" t="str">
            <v>-</v>
          </cell>
          <cell r="CK15" t="str">
            <v>-</v>
          </cell>
          <cell r="CL15">
            <v>100</v>
          </cell>
          <cell r="CM15">
            <v>100</v>
          </cell>
          <cell r="CN15" t="str">
            <v>-</v>
          </cell>
          <cell r="CO15" t="str">
            <v>-</v>
          </cell>
          <cell r="CP15" t="str">
            <v>-</v>
          </cell>
          <cell r="CQ15" t="str">
            <v>-</v>
          </cell>
          <cell r="CR15">
            <v>75</v>
          </cell>
          <cell r="CS15">
            <v>99</v>
          </cell>
          <cell r="CT15" t="str">
            <v>-</v>
          </cell>
          <cell r="CU15" t="str">
            <v>-</v>
          </cell>
          <cell r="CV15" t="str">
            <v>-</v>
          </cell>
          <cell r="CW15" t="str">
            <v>-</v>
          </cell>
          <cell r="CX15" t="str">
            <v>-</v>
          </cell>
          <cell r="CY15" t="str">
            <v>-</v>
          </cell>
          <cell r="CZ15" t="str">
            <v>-</v>
          </cell>
          <cell r="DA15" t="str">
            <v>-</v>
          </cell>
          <cell r="DB15" t="str">
            <v>-</v>
          </cell>
          <cell r="DC15" t="str">
            <v>-</v>
          </cell>
          <cell r="DD15" t="str">
            <v>-</v>
          </cell>
          <cell r="DE15" t="str">
            <v>-</v>
          </cell>
          <cell r="DF15" t="str">
            <v>-</v>
          </cell>
          <cell r="DG15" t="str">
            <v>-</v>
          </cell>
          <cell r="DH15" t="str">
            <v>-</v>
          </cell>
          <cell r="DI15" t="str">
            <v>-</v>
          </cell>
          <cell r="DJ15" t="str">
            <v>-</v>
          </cell>
          <cell r="DK15" t="str">
            <v>-</v>
          </cell>
          <cell r="DL15" t="str">
            <v>-</v>
          </cell>
          <cell r="DM15" t="str">
            <v>-</v>
          </cell>
          <cell r="DN15" t="str">
            <v>-</v>
          </cell>
          <cell r="DO15" t="str">
            <v>-</v>
          </cell>
          <cell r="DP15">
            <v>0</v>
          </cell>
          <cell r="DQ15">
            <v>7</v>
          </cell>
          <cell r="DR15">
            <v>40</v>
          </cell>
          <cell r="DS15">
            <v>31.5</v>
          </cell>
          <cell r="DT15">
            <v>20</v>
          </cell>
          <cell r="DU15">
            <v>10</v>
          </cell>
          <cell r="DV15">
            <v>4</v>
          </cell>
          <cell r="DW15">
            <v>2</v>
          </cell>
          <cell r="DX15">
            <v>1</v>
          </cell>
          <cell r="DY15">
            <v>0.5</v>
          </cell>
          <cell r="DZ15">
            <v>6.3E-2</v>
          </cell>
          <cell r="EA15" t="str">
            <v>≤</v>
          </cell>
          <cell r="EB15">
            <v>1</v>
          </cell>
          <cell r="EC15" t="str">
            <v>≤</v>
          </cell>
          <cell r="ED15">
            <v>2</v>
          </cell>
          <cell r="EE15" t="str">
            <v>-</v>
          </cell>
          <cell r="EF15" t="str">
            <v>-</v>
          </cell>
          <cell r="EG15" t="str">
            <v>-</v>
          </cell>
          <cell r="EH15" t="str">
            <v>-</v>
          </cell>
          <cell r="EI15" t="str">
            <v>≥</v>
          </cell>
          <cell r="EJ15">
            <v>50</v>
          </cell>
          <cell r="EK15" t="str">
            <v>≤</v>
          </cell>
          <cell r="EL15">
            <v>50</v>
          </cell>
          <cell r="EM15" t="str">
            <v>≤</v>
          </cell>
          <cell r="EN15">
            <v>5</v>
          </cell>
          <cell r="EO15" t="str">
            <v>-</v>
          </cell>
          <cell r="EP15" t="str">
            <v>-</v>
          </cell>
          <cell r="EQ15" t="str">
            <v>-</v>
          </cell>
          <cell r="ER15" t="str">
            <v>-</v>
          </cell>
          <cell r="ES15" t="str">
            <v>X</v>
          </cell>
          <cell r="ET15" t="str">
            <v>Rg</v>
          </cell>
          <cell r="EU15" t="str">
            <v>Rcug</v>
          </cell>
          <cell r="EV15" t="str">
            <v>Rb</v>
          </cell>
          <cell r="EW15" t="str">
            <v>Ra</v>
          </cell>
          <cell r="EX15" t="str">
            <v>-</v>
          </cell>
          <cell r="EY15" t="str">
            <v>-</v>
          </cell>
          <cell r="EZ15" t="str">
            <v>-</v>
          </cell>
        </row>
        <row r="16">
          <cell r="A16" t="str">
            <v>D11 Asfaltgranulaat 0/40 mm GA85 GTA20 f7 MBF10 FI35 C50/10</v>
          </cell>
          <cell r="B16" t="str">
            <v>-</v>
          </cell>
          <cell r="C16" t="str">
            <v>-</v>
          </cell>
          <cell r="D16" t="str">
            <v>-</v>
          </cell>
          <cell r="E16" t="str">
            <v>-</v>
          </cell>
          <cell r="F16">
            <v>100</v>
          </cell>
          <cell r="G16">
            <v>100</v>
          </cell>
          <cell r="H16" t="str">
            <v>-</v>
          </cell>
          <cell r="I16" t="str">
            <v>-</v>
          </cell>
          <cell r="J16">
            <v>90</v>
          </cell>
          <cell r="K16">
            <v>99</v>
          </cell>
          <cell r="L16" t="str">
            <v>-</v>
          </cell>
          <cell r="M16" t="str">
            <v>-</v>
          </cell>
          <cell r="N16" t="str">
            <v>-</v>
          </cell>
          <cell r="O16" t="str">
            <v>-</v>
          </cell>
          <cell r="P16">
            <v>55</v>
          </cell>
          <cell r="Q16">
            <v>85</v>
          </cell>
          <cell r="R16" t="str">
            <v>-</v>
          </cell>
          <cell r="S16" t="str">
            <v>-</v>
          </cell>
          <cell r="T16" t="str">
            <v>-</v>
          </cell>
          <cell r="U16" t="str">
            <v>-</v>
          </cell>
          <cell r="V16" t="str">
            <v>-</v>
          </cell>
          <cell r="W16" t="str">
            <v>-</v>
          </cell>
          <cell r="X16">
            <v>35</v>
          </cell>
          <cell r="Y16">
            <v>65</v>
          </cell>
          <cell r="Z16" t="str">
            <v>-</v>
          </cell>
          <cell r="AA16" t="str">
            <v>-</v>
          </cell>
          <cell r="AB16" t="str">
            <v>-</v>
          </cell>
          <cell r="AC16" t="str">
            <v>-</v>
          </cell>
          <cell r="AD16" t="str">
            <v>-</v>
          </cell>
          <cell r="AE16" t="str">
            <v>-</v>
          </cell>
          <cell r="AF16">
            <v>22</v>
          </cell>
          <cell r="AG16">
            <v>50</v>
          </cell>
          <cell r="AH16">
            <v>15</v>
          </cell>
          <cell r="AI16">
            <v>40</v>
          </cell>
          <cell r="AJ16">
            <v>10</v>
          </cell>
          <cell r="AK16">
            <v>35</v>
          </cell>
          <cell r="AL16">
            <v>0</v>
          </cell>
          <cell r="AM16">
            <v>20</v>
          </cell>
          <cell r="AN16">
            <v>0</v>
          </cell>
          <cell r="AO16">
            <v>7</v>
          </cell>
          <cell r="AP16" t="str">
            <v>-</v>
          </cell>
          <cell r="AQ16" t="str">
            <v>-</v>
          </cell>
          <cell r="AR16" t="str">
            <v>-</v>
          </cell>
          <cell r="AS16" t="str">
            <v>-</v>
          </cell>
          <cell r="AT16" t="str">
            <v>-</v>
          </cell>
          <cell r="AU16" t="str">
            <v>-</v>
          </cell>
          <cell r="AV16" t="str">
            <v>-</v>
          </cell>
          <cell r="AW16" t="str">
            <v>-</v>
          </cell>
          <cell r="AX16" t="str">
            <v>-</v>
          </cell>
          <cell r="AY16" t="str">
            <v>-</v>
          </cell>
          <cell r="AZ16" t="str">
            <v>-</v>
          </cell>
          <cell r="BA16" t="str">
            <v>-</v>
          </cell>
          <cell r="BB16" t="str">
            <v>-</v>
          </cell>
          <cell r="BC16" t="str">
            <v>-</v>
          </cell>
          <cell r="BD16" t="str">
            <v>-</v>
          </cell>
          <cell r="BE16" t="str">
            <v>-</v>
          </cell>
          <cell r="BF16" t="str">
            <v>-</v>
          </cell>
          <cell r="BG16" t="str">
            <v>-</v>
          </cell>
          <cell r="BH16" t="str">
            <v>-</v>
          </cell>
          <cell r="BI16" t="str">
            <v>-</v>
          </cell>
          <cell r="BJ16" t="str">
            <v>-</v>
          </cell>
          <cell r="BK16" t="str">
            <v>-</v>
          </cell>
          <cell r="BL16" t="str">
            <v>-</v>
          </cell>
          <cell r="BM16" t="str">
            <v>-</v>
          </cell>
          <cell r="BN16" t="str">
            <v>-</v>
          </cell>
          <cell r="BO16" t="str">
            <v>-</v>
          </cell>
          <cell r="BP16" t="str">
            <v>-</v>
          </cell>
          <cell r="BQ16" t="str">
            <v>-</v>
          </cell>
          <cell r="BR16" t="str">
            <v>-</v>
          </cell>
          <cell r="BS16" t="str">
            <v>-</v>
          </cell>
          <cell r="BT16" t="str">
            <v>-</v>
          </cell>
          <cell r="BU16" t="str">
            <v>-</v>
          </cell>
          <cell r="BV16" t="str">
            <v>-</v>
          </cell>
          <cell r="BW16" t="str">
            <v>-</v>
          </cell>
          <cell r="BX16" t="str">
            <v>-</v>
          </cell>
          <cell r="BY16" t="str">
            <v>-</v>
          </cell>
          <cell r="BZ16" t="str">
            <v>-</v>
          </cell>
          <cell r="CA16" t="str">
            <v>-</v>
          </cell>
          <cell r="CB16" t="str">
            <v>-</v>
          </cell>
          <cell r="CC16" t="str">
            <v>-</v>
          </cell>
          <cell r="CD16" t="str">
            <v>-</v>
          </cell>
          <cell r="CE16" t="str">
            <v>-</v>
          </cell>
          <cell r="CF16" t="str">
            <v>-</v>
          </cell>
          <cell r="CG16" t="str">
            <v>-</v>
          </cell>
          <cell r="CH16">
            <v>100</v>
          </cell>
          <cell r="CI16">
            <v>100</v>
          </cell>
          <cell r="CJ16" t="str">
            <v>-</v>
          </cell>
          <cell r="CK16" t="str">
            <v>-</v>
          </cell>
          <cell r="CL16">
            <v>89</v>
          </cell>
          <cell r="CM16">
            <v>99</v>
          </cell>
          <cell r="CN16" t="str">
            <v>-</v>
          </cell>
          <cell r="CO16" t="str">
            <v>-</v>
          </cell>
          <cell r="CP16" t="str">
            <v>-</v>
          </cell>
          <cell r="CQ16" t="str">
            <v>-</v>
          </cell>
          <cell r="CR16">
            <v>50</v>
          </cell>
          <cell r="CS16">
            <v>90</v>
          </cell>
          <cell r="CT16" t="str">
            <v>-</v>
          </cell>
          <cell r="CU16" t="str">
            <v>-</v>
          </cell>
          <cell r="CV16" t="str">
            <v>-</v>
          </cell>
          <cell r="CW16" t="str">
            <v>-</v>
          </cell>
          <cell r="CX16" t="str">
            <v>-</v>
          </cell>
          <cell r="CY16" t="str">
            <v>-</v>
          </cell>
          <cell r="CZ16" t="str">
            <v>-</v>
          </cell>
          <cell r="DA16" t="str">
            <v>-</v>
          </cell>
          <cell r="DB16" t="str">
            <v>-</v>
          </cell>
          <cell r="DC16" t="str">
            <v>-</v>
          </cell>
          <cell r="DD16" t="str">
            <v>-</v>
          </cell>
          <cell r="DE16" t="str">
            <v>-</v>
          </cell>
          <cell r="DF16" t="str">
            <v>-</v>
          </cell>
          <cell r="DG16" t="str">
            <v>-</v>
          </cell>
          <cell r="DH16" t="str">
            <v>-</v>
          </cell>
          <cell r="DI16" t="str">
            <v>-</v>
          </cell>
          <cell r="DJ16" t="str">
            <v>-</v>
          </cell>
          <cell r="DK16" t="str">
            <v>-</v>
          </cell>
          <cell r="DL16" t="str">
            <v>-</v>
          </cell>
          <cell r="DM16" t="str">
            <v>-</v>
          </cell>
          <cell r="DN16" t="str">
            <v>-</v>
          </cell>
          <cell r="DO16" t="str">
            <v>-</v>
          </cell>
          <cell r="DP16">
            <v>0</v>
          </cell>
          <cell r="DQ16">
            <v>7</v>
          </cell>
          <cell r="DR16">
            <v>56</v>
          </cell>
          <cell r="DS16">
            <v>40</v>
          </cell>
          <cell r="DT16">
            <v>20</v>
          </cell>
          <cell r="DU16">
            <v>10</v>
          </cell>
          <cell r="DV16">
            <v>4</v>
          </cell>
          <cell r="DW16">
            <v>2</v>
          </cell>
          <cell r="DX16">
            <v>1</v>
          </cell>
          <cell r="DY16">
            <v>0.5</v>
          </cell>
          <cell r="DZ16">
            <v>6.3E-2</v>
          </cell>
          <cell r="EA16" t="str">
            <v>≤</v>
          </cell>
          <cell r="EB16">
            <v>1</v>
          </cell>
          <cell r="EC16" t="str">
            <v>≤</v>
          </cell>
          <cell r="ED16">
            <v>2</v>
          </cell>
          <cell r="EE16" t="str">
            <v>-</v>
          </cell>
          <cell r="EF16" t="str">
            <v>-</v>
          </cell>
          <cell r="EG16" t="str">
            <v>-</v>
          </cell>
          <cell r="EH16" t="str">
            <v>-</v>
          </cell>
          <cell r="EI16" t="str">
            <v>≤</v>
          </cell>
          <cell r="EJ16">
            <v>30</v>
          </cell>
          <cell r="EK16" t="str">
            <v>≤</v>
          </cell>
          <cell r="EL16">
            <v>10</v>
          </cell>
          <cell r="EM16" t="str">
            <v>≥</v>
          </cell>
          <cell r="EN16">
            <v>70</v>
          </cell>
          <cell r="EO16" t="str">
            <v>-</v>
          </cell>
          <cell r="EP16" t="str">
            <v>-</v>
          </cell>
          <cell r="EQ16" t="str">
            <v>-</v>
          </cell>
          <cell r="ER16" t="str">
            <v>-</v>
          </cell>
          <cell r="ES16" t="str">
            <v>X</v>
          </cell>
          <cell r="ET16" t="str">
            <v>Rg</v>
          </cell>
          <cell r="EU16" t="str">
            <v>Rcug</v>
          </cell>
          <cell r="EV16" t="str">
            <v>Rb</v>
          </cell>
          <cell r="EW16" t="str">
            <v>Ra</v>
          </cell>
          <cell r="EX16" t="str">
            <v>-</v>
          </cell>
          <cell r="EY16" t="str">
            <v>-</v>
          </cell>
          <cell r="EZ16" t="str">
            <v>-</v>
          </cell>
        </row>
        <row r="17">
          <cell r="A17" t="str">
            <v>D12 Asfaltgranulaat 0/20 mm GA75 GTANR f7 MBF10 FI35 C50/10</v>
          </cell>
          <cell r="B17" t="str">
            <v>-</v>
          </cell>
          <cell r="C17" t="str">
            <v>-</v>
          </cell>
          <cell r="D17" t="str">
            <v>-</v>
          </cell>
          <cell r="E17" t="str">
            <v>-</v>
          </cell>
          <cell r="F17" t="str">
            <v>-</v>
          </cell>
          <cell r="G17" t="str">
            <v>-</v>
          </cell>
          <cell r="H17" t="str">
            <v>-</v>
          </cell>
          <cell r="I17" t="str">
            <v>-</v>
          </cell>
          <cell r="J17">
            <v>100</v>
          </cell>
          <cell r="K17">
            <v>100</v>
          </cell>
          <cell r="L17" t="str">
            <v>-</v>
          </cell>
          <cell r="M17" t="str">
            <v>-</v>
          </cell>
          <cell r="N17" t="str">
            <v>-</v>
          </cell>
          <cell r="O17" t="str">
            <v>-</v>
          </cell>
          <cell r="P17">
            <v>80</v>
          </cell>
          <cell r="Q17">
            <v>99</v>
          </cell>
          <cell r="R17" t="str">
            <v>-</v>
          </cell>
          <cell r="S17" t="str">
            <v>-</v>
          </cell>
          <cell r="T17" t="str">
            <v>-</v>
          </cell>
          <cell r="U17" t="str">
            <v>-</v>
          </cell>
          <cell r="V17" t="str">
            <v>-</v>
          </cell>
          <cell r="W17" t="str">
            <v>-</v>
          </cell>
          <cell r="X17">
            <v>55</v>
          </cell>
          <cell r="Y17">
            <v>85</v>
          </cell>
          <cell r="Z17" t="str">
            <v>-</v>
          </cell>
          <cell r="AA17" t="str">
            <v>-</v>
          </cell>
          <cell r="AB17" t="str">
            <v>-</v>
          </cell>
          <cell r="AC17" t="str">
            <v>-</v>
          </cell>
          <cell r="AD17" t="str">
            <v>-</v>
          </cell>
          <cell r="AE17" t="str">
            <v>-</v>
          </cell>
          <cell r="AF17">
            <v>35</v>
          </cell>
          <cell r="AG17">
            <v>65</v>
          </cell>
          <cell r="AH17">
            <v>22</v>
          </cell>
          <cell r="AI17">
            <v>50</v>
          </cell>
          <cell r="AJ17">
            <v>15</v>
          </cell>
          <cell r="AK17">
            <v>40</v>
          </cell>
          <cell r="AL17">
            <v>10</v>
          </cell>
          <cell r="AM17">
            <v>35</v>
          </cell>
          <cell r="AN17">
            <v>0</v>
          </cell>
          <cell r="AO17">
            <v>7</v>
          </cell>
          <cell r="AP17" t="str">
            <v>-</v>
          </cell>
          <cell r="AQ17" t="str">
            <v>-</v>
          </cell>
          <cell r="AR17" t="str">
            <v>-</v>
          </cell>
          <cell r="AS17" t="str">
            <v>-</v>
          </cell>
          <cell r="AT17" t="str">
            <v>-</v>
          </cell>
          <cell r="AU17" t="str">
            <v>-</v>
          </cell>
          <cell r="AV17" t="str">
            <v>-</v>
          </cell>
          <cell r="AW17" t="str">
            <v>-</v>
          </cell>
          <cell r="AX17" t="str">
            <v>-</v>
          </cell>
          <cell r="AY17" t="str">
            <v>-</v>
          </cell>
          <cell r="AZ17" t="str">
            <v>-</v>
          </cell>
          <cell r="BA17" t="str">
            <v>-</v>
          </cell>
          <cell r="BB17" t="str">
            <v>-</v>
          </cell>
          <cell r="BC17" t="str">
            <v>-</v>
          </cell>
          <cell r="BD17" t="str">
            <v>-</v>
          </cell>
          <cell r="BE17" t="str">
            <v>-</v>
          </cell>
          <cell r="BF17" t="str">
            <v>-</v>
          </cell>
          <cell r="BG17" t="str">
            <v>-</v>
          </cell>
          <cell r="BH17" t="str">
            <v>-</v>
          </cell>
          <cell r="BI17" t="str">
            <v>-</v>
          </cell>
          <cell r="BJ17" t="str">
            <v>-</v>
          </cell>
          <cell r="BK17" t="str">
            <v>-</v>
          </cell>
          <cell r="BL17" t="str">
            <v>-</v>
          </cell>
          <cell r="BM17" t="str">
            <v>-</v>
          </cell>
          <cell r="BN17" t="str">
            <v>-</v>
          </cell>
          <cell r="BO17" t="str">
            <v>-</v>
          </cell>
          <cell r="BP17" t="str">
            <v>-</v>
          </cell>
          <cell r="BQ17" t="str">
            <v>-</v>
          </cell>
          <cell r="BR17" t="str">
            <v>-</v>
          </cell>
          <cell r="BS17" t="str">
            <v>-</v>
          </cell>
          <cell r="BT17" t="str">
            <v>-</v>
          </cell>
          <cell r="BU17" t="str">
            <v>-</v>
          </cell>
          <cell r="BV17" t="str">
            <v>-</v>
          </cell>
          <cell r="BW17" t="str">
            <v>-</v>
          </cell>
          <cell r="BX17" t="str">
            <v>-</v>
          </cell>
          <cell r="BY17" t="str">
            <v>-</v>
          </cell>
          <cell r="BZ17" t="str">
            <v>-</v>
          </cell>
          <cell r="CA17" t="str">
            <v>-</v>
          </cell>
          <cell r="CB17" t="str">
            <v>-</v>
          </cell>
          <cell r="CC17" t="str">
            <v>-</v>
          </cell>
          <cell r="CD17" t="str">
            <v>-</v>
          </cell>
          <cell r="CE17" t="str">
            <v>-</v>
          </cell>
          <cell r="CF17" t="str">
            <v>-</v>
          </cell>
          <cell r="CG17" t="str">
            <v>-</v>
          </cell>
          <cell r="CH17" t="str">
            <v>-</v>
          </cell>
          <cell r="CI17" t="str">
            <v>-</v>
          </cell>
          <cell r="CJ17" t="str">
            <v>-</v>
          </cell>
          <cell r="CK17" t="str">
            <v>-</v>
          </cell>
          <cell r="CL17">
            <v>100</v>
          </cell>
          <cell r="CM17">
            <v>100</v>
          </cell>
          <cell r="CN17" t="str">
            <v>-</v>
          </cell>
          <cell r="CO17" t="str">
            <v>-</v>
          </cell>
          <cell r="CP17" t="str">
            <v>-</v>
          </cell>
          <cell r="CQ17" t="str">
            <v>-</v>
          </cell>
          <cell r="CR17">
            <v>75</v>
          </cell>
          <cell r="CS17">
            <v>99</v>
          </cell>
          <cell r="CT17" t="str">
            <v>-</v>
          </cell>
          <cell r="CU17" t="str">
            <v>-</v>
          </cell>
          <cell r="CV17" t="str">
            <v>-</v>
          </cell>
          <cell r="CW17" t="str">
            <v>-</v>
          </cell>
          <cell r="CX17" t="str">
            <v>-</v>
          </cell>
          <cell r="CY17" t="str">
            <v>-</v>
          </cell>
          <cell r="CZ17" t="str">
            <v>-</v>
          </cell>
          <cell r="DA17" t="str">
            <v>-</v>
          </cell>
          <cell r="DB17" t="str">
            <v>-</v>
          </cell>
          <cell r="DC17" t="str">
            <v>-</v>
          </cell>
          <cell r="DD17" t="str">
            <v>-</v>
          </cell>
          <cell r="DE17" t="str">
            <v>-</v>
          </cell>
          <cell r="DF17" t="str">
            <v>-</v>
          </cell>
          <cell r="DG17" t="str">
            <v>-</v>
          </cell>
          <cell r="DH17" t="str">
            <v>-</v>
          </cell>
          <cell r="DI17" t="str">
            <v>-</v>
          </cell>
          <cell r="DJ17" t="str">
            <v>-</v>
          </cell>
          <cell r="DK17" t="str">
            <v>-</v>
          </cell>
          <cell r="DL17" t="str">
            <v>-</v>
          </cell>
          <cell r="DM17" t="str">
            <v>-</v>
          </cell>
          <cell r="DN17" t="str">
            <v>-</v>
          </cell>
          <cell r="DO17" t="str">
            <v>-</v>
          </cell>
          <cell r="DP17">
            <v>0</v>
          </cell>
          <cell r="DQ17">
            <v>7</v>
          </cell>
          <cell r="DR17">
            <v>40</v>
          </cell>
          <cell r="DS17">
            <v>31.5</v>
          </cell>
          <cell r="DT17">
            <v>20</v>
          </cell>
          <cell r="DU17">
            <v>10</v>
          </cell>
          <cell r="DV17">
            <v>4</v>
          </cell>
          <cell r="DW17">
            <v>2</v>
          </cell>
          <cell r="DX17">
            <v>1</v>
          </cell>
          <cell r="DY17">
            <v>0.5</v>
          </cell>
          <cell r="DZ17">
            <v>6.3E-2</v>
          </cell>
          <cell r="EA17" t="str">
            <v>≤</v>
          </cell>
          <cell r="EB17">
            <v>1</v>
          </cell>
          <cell r="EC17" t="str">
            <v>≤</v>
          </cell>
          <cell r="ED17">
            <v>2</v>
          </cell>
          <cell r="EE17" t="str">
            <v>-</v>
          </cell>
          <cell r="EF17" t="str">
            <v>-</v>
          </cell>
          <cell r="EG17" t="str">
            <v>-</v>
          </cell>
          <cell r="EH17" t="str">
            <v>-</v>
          </cell>
          <cell r="EI17" t="str">
            <v>≤</v>
          </cell>
          <cell r="EJ17">
            <v>30</v>
          </cell>
          <cell r="EK17" t="str">
            <v>≤</v>
          </cell>
          <cell r="EL17">
            <v>10</v>
          </cell>
          <cell r="EM17" t="str">
            <v>≥</v>
          </cell>
          <cell r="EN17">
            <v>70</v>
          </cell>
          <cell r="EO17" t="str">
            <v>-</v>
          </cell>
          <cell r="EP17" t="str">
            <v>-</v>
          </cell>
          <cell r="EQ17" t="str">
            <v>-</v>
          </cell>
          <cell r="ER17" t="str">
            <v>-</v>
          </cell>
          <cell r="ES17" t="str">
            <v>X</v>
          </cell>
          <cell r="ET17" t="str">
            <v>Rg</v>
          </cell>
          <cell r="EU17" t="str">
            <v>Rcug</v>
          </cell>
          <cell r="EV17" t="str">
            <v>Rb</v>
          </cell>
          <cell r="EW17" t="str">
            <v>Ra</v>
          </cell>
          <cell r="EX17" t="str">
            <v>-</v>
          </cell>
          <cell r="EY17" t="str">
            <v>-</v>
          </cell>
          <cell r="EZ17" t="str">
            <v>-</v>
          </cell>
        </row>
        <row r="18">
          <cell r="A18" t="str">
            <v>E1 Menggranulaat 0/10 mm GA75 GTANR f20 MBF10</v>
          </cell>
          <cell r="B18" t="str">
            <v>-</v>
          </cell>
          <cell r="C18" t="str">
            <v>-</v>
          </cell>
          <cell r="D18" t="str">
            <v>-</v>
          </cell>
          <cell r="E18" t="str">
            <v>-</v>
          </cell>
          <cell r="F18" t="str">
            <v>-</v>
          </cell>
          <cell r="G18" t="str">
            <v>-</v>
          </cell>
          <cell r="H18" t="str">
            <v>-</v>
          </cell>
          <cell r="I18" t="str">
            <v>-</v>
          </cell>
          <cell r="J18" t="str">
            <v>-</v>
          </cell>
          <cell r="K18" t="str">
            <v>-</v>
          </cell>
          <cell r="L18" t="str">
            <v>-</v>
          </cell>
          <cell r="M18" t="str">
            <v>-</v>
          </cell>
          <cell r="N18" t="str">
            <v>-</v>
          </cell>
          <cell r="O18" t="str">
            <v>-</v>
          </cell>
          <cell r="P18" t="str">
            <v>-</v>
          </cell>
          <cell r="Q18" t="str">
            <v>-</v>
          </cell>
          <cell r="R18" t="str">
            <v>-</v>
          </cell>
          <cell r="S18" t="str">
            <v>-</v>
          </cell>
          <cell r="T18" t="str">
            <v>-</v>
          </cell>
          <cell r="U18" t="str">
            <v>-</v>
          </cell>
          <cell r="V18" t="str">
            <v>-</v>
          </cell>
          <cell r="W18" t="str">
            <v>-</v>
          </cell>
          <cell r="X18" t="str">
            <v>-</v>
          </cell>
          <cell r="Y18" t="str">
            <v>-</v>
          </cell>
          <cell r="Z18" t="str">
            <v>-</v>
          </cell>
          <cell r="AA18" t="str">
            <v>-</v>
          </cell>
          <cell r="AB18" t="str">
            <v>-</v>
          </cell>
          <cell r="AC18" t="str">
            <v>-</v>
          </cell>
          <cell r="AD18" t="str">
            <v>-</v>
          </cell>
          <cell r="AE18" t="str">
            <v>-</v>
          </cell>
          <cell r="AF18" t="str">
            <v>-</v>
          </cell>
          <cell r="AG18" t="str">
            <v>-</v>
          </cell>
          <cell r="AH18" t="str">
            <v>-</v>
          </cell>
          <cell r="AI18" t="str">
            <v>-</v>
          </cell>
          <cell r="AJ18" t="str">
            <v>-</v>
          </cell>
          <cell r="AK18" t="str">
            <v>-</v>
          </cell>
          <cell r="AL18" t="str">
            <v>-</v>
          </cell>
          <cell r="AM18" t="str">
            <v>-</v>
          </cell>
          <cell r="AN18" t="str">
            <v>-</v>
          </cell>
          <cell r="AO18" t="str">
            <v>-</v>
          </cell>
          <cell r="AP18" t="str">
            <v>-</v>
          </cell>
          <cell r="AQ18" t="str">
            <v>-</v>
          </cell>
          <cell r="AR18" t="str">
            <v>-</v>
          </cell>
          <cell r="AS18" t="str">
            <v>-</v>
          </cell>
          <cell r="AT18" t="str">
            <v>-</v>
          </cell>
          <cell r="AU18" t="str">
            <v>-</v>
          </cell>
          <cell r="AV18" t="str">
            <v>-</v>
          </cell>
          <cell r="AW18" t="str">
            <v>-</v>
          </cell>
          <cell r="AX18" t="str">
            <v>-</v>
          </cell>
          <cell r="AY18" t="str">
            <v>-</v>
          </cell>
          <cell r="AZ18" t="str">
            <v>-</v>
          </cell>
          <cell r="BA18" t="str">
            <v>-</v>
          </cell>
          <cell r="BB18" t="str">
            <v>-</v>
          </cell>
          <cell r="BC18" t="str">
            <v>-</v>
          </cell>
          <cell r="BD18" t="str">
            <v>-</v>
          </cell>
          <cell r="BE18" t="str">
            <v>-</v>
          </cell>
          <cell r="BF18" t="str">
            <v>-</v>
          </cell>
          <cell r="BG18" t="str">
            <v>-</v>
          </cell>
          <cell r="BH18" t="str">
            <v>-</v>
          </cell>
          <cell r="BI18" t="str">
            <v>-</v>
          </cell>
          <cell r="BJ18" t="str">
            <v>-</v>
          </cell>
          <cell r="BK18" t="str">
            <v>-</v>
          </cell>
          <cell r="BL18" t="str">
            <v>-</v>
          </cell>
          <cell r="BM18" t="str">
            <v>-</v>
          </cell>
          <cell r="BN18" t="str">
            <v>-</v>
          </cell>
          <cell r="BO18" t="str">
            <v>-</v>
          </cell>
          <cell r="BP18" t="str">
            <v>-</v>
          </cell>
          <cell r="BQ18" t="str">
            <v>-</v>
          </cell>
          <cell r="BR18" t="str">
            <v>-</v>
          </cell>
          <cell r="BS18" t="str">
            <v>-</v>
          </cell>
          <cell r="BT18" t="str">
            <v>-</v>
          </cell>
          <cell r="BU18" t="str">
            <v>-</v>
          </cell>
          <cell r="BV18" t="str">
            <v>-</v>
          </cell>
          <cell r="BW18" t="str">
            <v>-</v>
          </cell>
          <cell r="BX18" t="str">
            <v>-</v>
          </cell>
          <cell r="BY18" t="str">
            <v>-</v>
          </cell>
          <cell r="BZ18" t="str">
            <v>-</v>
          </cell>
          <cell r="CA18" t="str">
            <v>-</v>
          </cell>
          <cell r="CB18" t="str">
            <v>-</v>
          </cell>
          <cell r="CC18" t="str">
            <v>-</v>
          </cell>
          <cell r="CD18" t="str">
            <v>-</v>
          </cell>
          <cell r="CE18" t="str">
            <v>-</v>
          </cell>
          <cell r="CF18" t="str">
            <v>-</v>
          </cell>
          <cell r="CG18" t="str">
            <v>-</v>
          </cell>
          <cell r="CH18" t="str">
            <v>-</v>
          </cell>
          <cell r="CI18" t="str">
            <v>-</v>
          </cell>
          <cell r="CJ18" t="str">
            <v>-</v>
          </cell>
          <cell r="CK18" t="str">
            <v>-</v>
          </cell>
          <cell r="CL18" t="str">
            <v>-</v>
          </cell>
          <cell r="CM18" t="str">
            <v>-</v>
          </cell>
          <cell r="CN18" t="str">
            <v>-</v>
          </cell>
          <cell r="CO18" t="str">
            <v>-</v>
          </cell>
          <cell r="CP18" t="str">
            <v>-</v>
          </cell>
          <cell r="CQ18" t="str">
            <v>-</v>
          </cell>
          <cell r="CR18">
            <v>100</v>
          </cell>
          <cell r="CS18">
            <v>100</v>
          </cell>
          <cell r="CT18" t="str">
            <v>-</v>
          </cell>
          <cell r="CU18" t="str">
            <v>-</v>
          </cell>
          <cell r="CV18" t="str">
            <v>-</v>
          </cell>
          <cell r="CW18" t="str">
            <v>-</v>
          </cell>
          <cell r="CX18" t="str">
            <v>-</v>
          </cell>
          <cell r="CY18" t="str">
            <v>-</v>
          </cell>
          <cell r="CZ18">
            <v>75</v>
          </cell>
          <cell r="DA18">
            <v>99</v>
          </cell>
          <cell r="DB18" t="str">
            <v>-</v>
          </cell>
          <cell r="DC18" t="str">
            <v>-</v>
          </cell>
          <cell r="DD18" t="str">
            <v>-</v>
          </cell>
          <cell r="DE18" t="str">
            <v>-</v>
          </cell>
          <cell r="DF18" t="str">
            <v>-</v>
          </cell>
          <cell r="DG18" t="str">
            <v>-</v>
          </cell>
          <cell r="DH18" t="str">
            <v>-</v>
          </cell>
          <cell r="DI18" t="str">
            <v>-</v>
          </cell>
          <cell r="DJ18" t="str">
            <v>-</v>
          </cell>
          <cell r="DK18" t="str">
            <v>-</v>
          </cell>
          <cell r="DL18" t="str">
            <v>-</v>
          </cell>
          <cell r="DM18" t="str">
            <v>-</v>
          </cell>
          <cell r="DN18" t="str">
            <v>-</v>
          </cell>
          <cell r="DO18" t="str">
            <v>-</v>
          </cell>
          <cell r="DP18">
            <v>0</v>
          </cell>
          <cell r="DQ18">
            <v>20</v>
          </cell>
          <cell r="DR18">
            <v>31.5</v>
          </cell>
          <cell r="DS18">
            <v>20</v>
          </cell>
          <cell r="DT18">
            <v>14</v>
          </cell>
          <cell r="DU18">
            <v>10</v>
          </cell>
          <cell r="DV18">
            <v>8</v>
          </cell>
          <cell r="DW18">
            <v>5</v>
          </cell>
          <cell r="DX18">
            <v>4</v>
          </cell>
          <cell r="DY18">
            <v>2</v>
          </cell>
          <cell r="DZ18">
            <v>6.3E-2</v>
          </cell>
          <cell r="EA18" t="str">
            <v>≤</v>
          </cell>
          <cell r="EB18">
            <v>1</v>
          </cell>
          <cell r="EC18" t="str">
            <v>≤</v>
          </cell>
          <cell r="ED18">
            <v>2</v>
          </cell>
          <cell r="EE18" t="str">
            <v>-</v>
          </cell>
          <cell r="EF18" t="str">
            <v>-</v>
          </cell>
          <cell r="EG18" t="str">
            <v>-</v>
          </cell>
          <cell r="EH18" t="str">
            <v>-</v>
          </cell>
          <cell r="EI18" t="str">
            <v>≥</v>
          </cell>
          <cell r="EJ18">
            <v>50</v>
          </cell>
          <cell r="EK18" t="str">
            <v>≤</v>
          </cell>
          <cell r="EL18">
            <v>50</v>
          </cell>
          <cell r="EM18" t="str">
            <v>≤</v>
          </cell>
          <cell r="EN18">
            <v>5</v>
          </cell>
          <cell r="EO18" t="str">
            <v>-</v>
          </cell>
          <cell r="EP18" t="str">
            <v>-</v>
          </cell>
          <cell r="EQ18" t="str">
            <v>-</v>
          </cell>
          <cell r="ER18" t="str">
            <v>-</v>
          </cell>
          <cell r="ES18" t="str">
            <v>X</v>
          </cell>
          <cell r="ET18" t="str">
            <v>Rg</v>
          </cell>
          <cell r="EU18" t="str">
            <v>Rcug</v>
          </cell>
          <cell r="EV18" t="str">
            <v>Rb</v>
          </cell>
          <cell r="EW18" t="str">
            <v>Ra</v>
          </cell>
          <cell r="EX18" t="str">
            <v>-</v>
          </cell>
          <cell r="EY18" t="str">
            <v>-</v>
          </cell>
          <cell r="EZ18" t="str">
            <v>-</v>
          </cell>
        </row>
        <row r="19">
          <cell r="A19" t="str">
            <v>E2 Menggranulaat 0/40 mm GA75 GTANR f12 MBF10</v>
          </cell>
          <cell r="B19" t="str">
            <v>-</v>
          </cell>
          <cell r="C19" t="str">
            <v>-</v>
          </cell>
          <cell r="D19" t="str">
            <v>-</v>
          </cell>
          <cell r="E19" t="str">
            <v>-</v>
          </cell>
          <cell r="F19" t="str">
            <v>-</v>
          </cell>
          <cell r="G19" t="str">
            <v>-</v>
          </cell>
          <cell r="H19" t="str">
            <v>-</v>
          </cell>
          <cell r="I19" t="str">
            <v>-</v>
          </cell>
          <cell r="J19" t="str">
            <v>-</v>
          </cell>
          <cell r="K19" t="str">
            <v>-</v>
          </cell>
          <cell r="L19" t="str">
            <v>-</v>
          </cell>
          <cell r="M19" t="str">
            <v>-</v>
          </cell>
          <cell r="N19" t="str">
            <v>-</v>
          </cell>
          <cell r="O19" t="str">
            <v>-</v>
          </cell>
          <cell r="P19" t="str">
            <v>-</v>
          </cell>
          <cell r="Q19" t="str">
            <v>-</v>
          </cell>
          <cell r="R19" t="str">
            <v>-</v>
          </cell>
          <cell r="S19" t="str">
            <v>-</v>
          </cell>
          <cell r="T19" t="str">
            <v>-</v>
          </cell>
          <cell r="U19" t="str">
            <v>-</v>
          </cell>
          <cell r="V19" t="str">
            <v>-</v>
          </cell>
          <cell r="W19" t="str">
            <v>-</v>
          </cell>
          <cell r="X19" t="str">
            <v>-</v>
          </cell>
          <cell r="Y19" t="str">
            <v>-</v>
          </cell>
          <cell r="Z19" t="str">
            <v>-</v>
          </cell>
          <cell r="AA19" t="str">
            <v>-</v>
          </cell>
          <cell r="AB19" t="str">
            <v>-</v>
          </cell>
          <cell r="AC19" t="str">
            <v>-</v>
          </cell>
          <cell r="AD19" t="str">
            <v>-</v>
          </cell>
          <cell r="AE19" t="str">
            <v>-</v>
          </cell>
          <cell r="AF19" t="str">
            <v>-</v>
          </cell>
          <cell r="AG19" t="str">
            <v>-</v>
          </cell>
          <cell r="AH19" t="str">
            <v>-</v>
          </cell>
          <cell r="AI19" t="str">
            <v>-</v>
          </cell>
          <cell r="AJ19" t="str">
            <v>-</v>
          </cell>
          <cell r="AK19" t="str">
            <v>-</v>
          </cell>
          <cell r="AL19" t="str">
            <v>-</v>
          </cell>
          <cell r="AM19" t="str">
            <v>-</v>
          </cell>
          <cell r="AN19" t="str">
            <v>-</v>
          </cell>
          <cell r="AO19" t="str">
            <v>-</v>
          </cell>
          <cell r="AP19" t="str">
            <v>-</v>
          </cell>
          <cell r="AQ19" t="str">
            <v>-</v>
          </cell>
          <cell r="AR19" t="str">
            <v>-</v>
          </cell>
          <cell r="AS19" t="str">
            <v>-</v>
          </cell>
          <cell r="AT19" t="str">
            <v>-</v>
          </cell>
          <cell r="AU19" t="str">
            <v>-</v>
          </cell>
          <cell r="AV19" t="str">
            <v>-</v>
          </cell>
          <cell r="AW19" t="str">
            <v>-</v>
          </cell>
          <cell r="AX19" t="str">
            <v>-</v>
          </cell>
          <cell r="AY19" t="str">
            <v>-</v>
          </cell>
          <cell r="AZ19" t="str">
            <v>-</v>
          </cell>
          <cell r="BA19" t="str">
            <v>-</v>
          </cell>
          <cell r="BB19" t="str">
            <v>-</v>
          </cell>
          <cell r="BC19" t="str">
            <v>-</v>
          </cell>
          <cell r="BD19" t="str">
            <v>-</v>
          </cell>
          <cell r="BE19" t="str">
            <v>-</v>
          </cell>
          <cell r="BF19" t="str">
            <v>-</v>
          </cell>
          <cell r="BG19" t="str">
            <v>-</v>
          </cell>
          <cell r="BH19" t="str">
            <v>-</v>
          </cell>
          <cell r="BI19" t="str">
            <v>-</v>
          </cell>
          <cell r="BJ19" t="str">
            <v>-</v>
          </cell>
          <cell r="BK19" t="str">
            <v>-</v>
          </cell>
          <cell r="BL19" t="str">
            <v>-</v>
          </cell>
          <cell r="BM19" t="str">
            <v>-</v>
          </cell>
          <cell r="BN19" t="str">
            <v>-</v>
          </cell>
          <cell r="BO19" t="str">
            <v>-</v>
          </cell>
          <cell r="BP19" t="str">
            <v>-</v>
          </cell>
          <cell r="BQ19" t="str">
            <v>-</v>
          </cell>
          <cell r="BR19" t="str">
            <v>-</v>
          </cell>
          <cell r="BS19" t="str">
            <v>-</v>
          </cell>
          <cell r="BT19" t="str">
            <v>-</v>
          </cell>
          <cell r="BU19" t="str">
            <v>-</v>
          </cell>
          <cell r="BV19" t="str">
            <v>-</v>
          </cell>
          <cell r="BW19" t="str">
            <v>-</v>
          </cell>
          <cell r="BX19" t="str">
            <v>-</v>
          </cell>
          <cell r="BY19" t="str">
            <v>-</v>
          </cell>
          <cell r="BZ19" t="str">
            <v>-</v>
          </cell>
          <cell r="CA19" t="str">
            <v>-</v>
          </cell>
          <cell r="CB19" t="str">
            <v>-</v>
          </cell>
          <cell r="CC19" t="str">
            <v>-</v>
          </cell>
          <cell r="CD19">
            <v>100</v>
          </cell>
          <cell r="CE19">
            <v>100</v>
          </cell>
          <cell r="CF19" t="str">
            <v>-</v>
          </cell>
          <cell r="CG19" t="str">
            <v>-</v>
          </cell>
          <cell r="CH19" t="str">
            <v>-</v>
          </cell>
          <cell r="CI19" t="str">
            <v>-</v>
          </cell>
          <cell r="CJ19" t="str">
            <v>-</v>
          </cell>
          <cell r="CK19" t="str">
            <v>-</v>
          </cell>
          <cell r="CL19">
            <v>75</v>
          </cell>
          <cell r="CM19">
            <v>99</v>
          </cell>
          <cell r="CN19" t="str">
            <v>-</v>
          </cell>
          <cell r="CO19" t="str">
            <v>-</v>
          </cell>
          <cell r="CP19" t="str">
            <v>-</v>
          </cell>
          <cell r="CQ19" t="str">
            <v>-</v>
          </cell>
          <cell r="CR19" t="str">
            <v>-</v>
          </cell>
          <cell r="CS19" t="str">
            <v>-</v>
          </cell>
          <cell r="CT19" t="str">
            <v>-</v>
          </cell>
          <cell r="CU19" t="str">
            <v>-</v>
          </cell>
          <cell r="CV19" t="str">
            <v>-</v>
          </cell>
          <cell r="CW19" t="str">
            <v>-</v>
          </cell>
          <cell r="CX19" t="str">
            <v>-</v>
          </cell>
          <cell r="CY19" t="str">
            <v>-</v>
          </cell>
          <cell r="CZ19" t="str">
            <v>-</v>
          </cell>
          <cell r="DA19" t="str">
            <v>-</v>
          </cell>
          <cell r="DB19" t="str">
            <v>-</v>
          </cell>
          <cell r="DC19" t="str">
            <v>-</v>
          </cell>
          <cell r="DD19" t="str">
            <v>-</v>
          </cell>
          <cell r="DE19" t="str">
            <v>-</v>
          </cell>
          <cell r="DF19" t="str">
            <v>-</v>
          </cell>
          <cell r="DG19" t="str">
            <v>-</v>
          </cell>
          <cell r="DH19" t="str">
            <v>-</v>
          </cell>
          <cell r="DI19" t="str">
            <v>-</v>
          </cell>
          <cell r="DJ19" t="str">
            <v>-</v>
          </cell>
          <cell r="DK19" t="str">
            <v>-</v>
          </cell>
          <cell r="DL19" t="str">
            <v>-</v>
          </cell>
          <cell r="DM19" t="str">
            <v>-</v>
          </cell>
          <cell r="DN19" t="str">
            <v>-</v>
          </cell>
          <cell r="DO19" t="str">
            <v>-</v>
          </cell>
          <cell r="DP19">
            <v>0</v>
          </cell>
          <cell r="DQ19">
            <v>12</v>
          </cell>
          <cell r="DR19">
            <v>80</v>
          </cell>
          <cell r="DS19">
            <v>40</v>
          </cell>
          <cell r="DT19">
            <v>31.5</v>
          </cell>
          <cell r="DU19">
            <v>20</v>
          </cell>
          <cell r="DV19">
            <v>16</v>
          </cell>
          <cell r="DW19">
            <v>8</v>
          </cell>
          <cell r="DX19">
            <v>4</v>
          </cell>
          <cell r="DY19">
            <v>2</v>
          </cell>
          <cell r="DZ19">
            <v>6.3E-2</v>
          </cell>
          <cell r="EA19" t="str">
            <v>≤</v>
          </cell>
          <cell r="EB19">
            <v>1</v>
          </cell>
          <cell r="EC19" t="str">
            <v>≤</v>
          </cell>
          <cell r="ED19">
            <v>2</v>
          </cell>
          <cell r="EE19" t="str">
            <v>-</v>
          </cell>
          <cell r="EF19" t="str">
            <v>-</v>
          </cell>
          <cell r="EG19" t="str">
            <v>-</v>
          </cell>
          <cell r="EH19" t="str">
            <v>-</v>
          </cell>
          <cell r="EI19" t="str">
            <v>≥</v>
          </cell>
          <cell r="EJ19">
            <v>50</v>
          </cell>
          <cell r="EK19" t="str">
            <v>≤</v>
          </cell>
          <cell r="EL19">
            <v>50</v>
          </cell>
          <cell r="EM19" t="str">
            <v>≤</v>
          </cell>
          <cell r="EN19">
            <v>5</v>
          </cell>
          <cell r="EO19" t="str">
            <v>-</v>
          </cell>
          <cell r="EP19" t="str">
            <v>-</v>
          </cell>
          <cell r="EQ19" t="str">
            <v>-</v>
          </cell>
          <cell r="ER19" t="str">
            <v>-</v>
          </cell>
          <cell r="ES19" t="str">
            <v>X</v>
          </cell>
          <cell r="ET19" t="str">
            <v>Rg</v>
          </cell>
          <cell r="EU19" t="str">
            <v>Rcug</v>
          </cell>
          <cell r="EV19" t="str">
            <v>Rb</v>
          </cell>
          <cell r="EW19" t="str">
            <v>Ra</v>
          </cell>
          <cell r="EX19" t="str">
            <v>-</v>
          </cell>
          <cell r="EY19" t="str">
            <v>-</v>
          </cell>
          <cell r="EZ19" t="str">
            <v>-</v>
          </cell>
        </row>
        <row r="20">
          <cell r="A20" t="str">
            <v>E3 Menggranulaat 0/20 mm GA75 GTANR f7 MBF10</v>
          </cell>
          <cell r="B20" t="str">
            <v>-</v>
          </cell>
          <cell r="C20" t="str">
            <v>-</v>
          </cell>
          <cell r="D20" t="str">
            <v>-</v>
          </cell>
          <cell r="E20" t="str">
            <v>-</v>
          </cell>
          <cell r="F20" t="str">
            <v>-</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v>
          </cell>
          <cell r="AD20" t="str">
            <v>-</v>
          </cell>
          <cell r="AE20" t="str">
            <v>-</v>
          </cell>
          <cell r="AF20" t="str">
            <v>-</v>
          </cell>
          <cell r="AG20" t="str">
            <v>-</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t="str">
            <v>-</v>
          </cell>
          <cell r="AU20" t="str">
            <v>-</v>
          </cell>
          <cell r="AV20" t="str">
            <v>-</v>
          </cell>
          <cell r="AW20" t="str">
            <v>-</v>
          </cell>
          <cell r="AX20" t="str">
            <v>-</v>
          </cell>
          <cell r="AY20" t="str">
            <v>-</v>
          </cell>
          <cell r="AZ20" t="str">
            <v>-</v>
          </cell>
          <cell r="BA20" t="str">
            <v>-</v>
          </cell>
          <cell r="BB20" t="str">
            <v>-</v>
          </cell>
          <cell r="BC20" t="str">
            <v>-</v>
          </cell>
          <cell r="BD20" t="str">
            <v>-</v>
          </cell>
          <cell r="BE20" t="str">
            <v>-</v>
          </cell>
          <cell r="BF20" t="str">
            <v>-</v>
          </cell>
          <cell r="BG20" t="str">
            <v>-</v>
          </cell>
          <cell r="BH20" t="str">
            <v>-</v>
          </cell>
          <cell r="BI20" t="str">
            <v>-</v>
          </cell>
          <cell r="BJ20" t="str">
            <v>-</v>
          </cell>
          <cell r="BK20" t="str">
            <v>-</v>
          </cell>
          <cell r="BL20" t="str">
            <v>-</v>
          </cell>
          <cell r="BM20" t="str">
            <v>-</v>
          </cell>
          <cell r="BN20" t="str">
            <v>-</v>
          </cell>
          <cell r="BO20" t="str">
            <v>-</v>
          </cell>
          <cell r="BP20" t="str">
            <v>-</v>
          </cell>
          <cell r="BQ20" t="str">
            <v>-</v>
          </cell>
          <cell r="BR20" t="str">
            <v>-</v>
          </cell>
          <cell r="BS20" t="str">
            <v>-</v>
          </cell>
          <cell r="BT20" t="str">
            <v>-</v>
          </cell>
          <cell r="BU20" t="str">
            <v>-</v>
          </cell>
          <cell r="BV20" t="str">
            <v>-</v>
          </cell>
          <cell r="BW20" t="str">
            <v>-</v>
          </cell>
          <cell r="BX20" t="str">
            <v>-</v>
          </cell>
          <cell r="BY20" t="str">
            <v>-</v>
          </cell>
          <cell r="BZ20" t="str">
            <v>-</v>
          </cell>
          <cell r="CA20" t="str">
            <v>-</v>
          </cell>
          <cell r="CB20" t="str">
            <v>-</v>
          </cell>
          <cell r="CC20" t="str">
            <v>-</v>
          </cell>
          <cell r="CD20" t="str">
            <v>-</v>
          </cell>
          <cell r="CE20" t="str">
            <v>-</v>
          </cell>
          <cell r="CF20" t="str">
            <v>-</v>
          </cell>
          <cell r="CG20" t="str">
            <v>-</v>
          </cell>
          <cell r="CH20" t="str">
            <v>-</v>
          </cell>
          <cell r="CI20" t="str">
            <v>-</v>
          </cell>
          <cell r="CJ20" t="str">
            <v>-</v>
          </cell>
          <cell r="CK20" t="str">
            <v>-</v>
          </cell>
          <cell r="CL20">
            <v>100</v>
          </cell>
          <cell r="CM20">
            <v>100</v>
          </cell>
          <cell r="CN20" t="str">
            <v>-</v>
          </cell>
          <cell r="CO20" t="str">
            <v>-</v>
          </cell>
          <cell r="CP20" t="str">
            <v>-</v>
          </cell>
          <cell r="CQ20" t="str">
            <v>-</v>
          </cell>
          <cell r="CR20">
            <v>75</v>
          </cell>
          <cell r="CS20">
            <v>99</v>
          </cell>
          <cell r="CT20" t="str">
            <v>-</v>
          </cell>
          <cell r="CU20" t="str">
            <v>-</v>
          </cell>
          <cell r="CV20" t="str">
            <v>-</v>
          </cell>
          <cell r="CW20" t="str">
            <v>-</v>
          </cell>
          <cell r="CX20" t="str">
            <v>-</v>
          </cell>
          <cell r="CY20" t="str">
            <v>-</v>
          </cell>
          <cell r="CZ20" t="str">
            <v>-</v>
          </cell>
          <cell r="DA20" t="str">
            <v>-</v>
          </cell>
          <cell r="DB20" t="str">
            <v>-</v>
          </cell>
          <cell r="DC20" t="str">
            <v>-</v>
          </cell>
          <cell r="DD20" t="str">
            <v>-</v>
          </cell>
          <cell r="DE20" t="str">
            <v>-</v>
          </cell>
          <cell r="DF20" t="str">
            <v>-</v>
          </cell>
          <cell r="DG20" t="str">
            <v>-</v>
          </cell>
          <cell r="DH20" t="str">
            <v>-</v>
          </cell>
          <cell r="DI20" t="str">
            <v>-</v>
          </cell>
          <cell r="DJ20" t="str">
            <v>-</v>
          </cell>
          <cell r="DK20" t="str">
            <v>-</v>
          </cell>
          <cell r="DL20" t="str">
            <v>-</v>
          </cell>
          <cell r="DM20" t="str">
            <v>-</v>
          </cell>
          <cell r="DN20" t="str">
            <v>-</v>
          </cell>
          <cell r="DO20" t="str">
            <v>-</v>
          </cell>
          <cell r="DP20">
            <v>0</v>
          </cell>
          <cell r="DQ20">
            <v>7</v>
          </cell>
          <cell r="DR20">
            <v>40</v>
          </cell>
          <cell r="DS20">
            <v>31.5</v>
          </cell>
          <cell r="DT20">
            <v>20</v>
          </cell>
          <cell r="DU20">
            <v>16</v>
          </cell>
          <cell r="DV20">
            <v>10</v>
          </cell>
          <cell r="DW20">
            <v>8</v>
          </cell>
          <cell r="DX20">
            <v>4</v>
          </cell>
          <cell r="DY20">
            <v>2</v>
          </cell>
          <cell r="DZ20">
            <v>6.3E-2</v>
          </cell>
          <cell r="EA20" t="str">
            <v>≤</v>
          </cell>
          <cell r="EB20">
            <v>1</v>
          </cell>
          <cell r="EC20" t="str">
            <v>≤</v>
          </cell>
          <cell r="ED20">
            <v>2</v>
          </cell>
          <cell r="EE20" t="str">
            <v>-</v>
          </cell>
          <cell r="EF20" t="str">
            <v>-</v>
          </cell>
          <cell r="EG20" t="str">
            <v>-</v>
          </cell>
          <cell r="EH20" t="str">
            <v>-</v>
          </cell>
          <cell r="EI20" t="str">
            <v>≥</v>
          </cell>
          <cell r="EJ20">
            <v>50</v>
          </cell>
          <cell r="EK20" t="str">
            <v>≤</v>
          </cell>
          <cell r="EL20">
            <v>50</v>
          </cell>
          <cell r="EM20" t="str">
            <v>≤</v>
          </cell>
          <cell r="EN20">
            <v>5</v>
          </cell>
          <cell r="EO20" t="str">
            <v>-</v>
          </cell>
          <cell r="EP20" t="str">
            <v>-</v>
          </cell>
          <cell r="EQ20" t="str">
            <v>-</v>
          </cell>
          <cell r="ER20" t="str">
            <v>-</v>
          </cell>
          <cell r="ES20" t="str">
            <v>X</v>
          </cell>
          <cell r="ET20" t="str">
            <v>Rg</v>
          </cell>
          <cell r="EU20" t="str">
            <v>Rcug</v>
          </cell>
          <cell r="EV20" t="str">
            <v>Rb</v>
          </cell>
          <cell r="EW20" t="str">
            <v>Ra</v>
          </cell>
          <cell r="EX20" t="str">
            <v>-</v>
          </cell>
          <cell r="EY20" t="str">
            <v>-</v>
          </cell>
          <cell r="EZ20" t="str">
            <v>-</v>
          </cell>
        </row>
        <row r="21">
          <cell r="A21">
            <v>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I21">
            <v>0</v>
          </cell>
          <cell r="ES21">
            <v>0</v>
          </cell>
        </row>
        <row r="22">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S22">
            <v>0</v>
          </cell>
        </row>
        <row r="23">
          <cell r="A23">
            <v>0</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I23">
            <v>0</v>
          </cell>
          <cell r="EJ23">
            <v>0</v>
          </cell>
          <cell r="EK23">
            <v>0</v>
          </cell>
          <cell r="ES23">
            <v>0</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S24">
            <v>0</v>
          </cell>
        </row>
        <row r="25">
          <cell r="A25">
            <v>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S25">
            <v>0</v>
          </cell>
        </row>
        <row r="26">
          <cell r="A26">
            <v>0</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S26">
            <v>0</v>
          </cell>
        </row>
        <row r="27">
          <cell r="A27">
            <v>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S27">
            <v>0</v>
          </cell>
        </row>
        <row r="28">
          <cell r="A28">
            <v>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S28">
            <v>0</v>
          </cell>
        </row>
        <row r="29">
          <cell r="A29">
            <v>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S29">
            <v>0</v>
          </cell>
        </row>
        <row r="30">
          <cell r="A30">
            <v>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S30">
            <v>0</v>
          </cell>
        </row>
        <row r="31">
          <cell r="A31">
            <v>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S31">
            <v>0</v>
          </cell>
        </row>
        <row r="32">
          <cell r="A32">
            <v>0</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S32">
            <v>0</v>
          </cell>
        </row>
        <row r="33">
          <cell r="A33">
            <v>0</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S33">
            <v>0</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S34">
            <v>0</v>
          </cell>
        </row>
        <row r="35">
          <cell r="A35">
            <v>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S35">
            <v>0</v>
          </cell>
        </row>
        <row r="36">
          <cell r="A36">
            <v>0</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S36">
            <v>0</v>
          </cell>
        </row>
        <row r="37">
          <cell r="A37">
            <v>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S37">
            <v>0</v>
          </cell>
        </row>
        <row r="38">
          <cell r="A38">
            <v>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ulat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cement"/>
      <sheetName val="input vulstof"/>
      <sheetName val="input granulaat"/>
      <sheetName val="input hulpstof"/>
      <sheetName val="input andere"/>
      <sheetName val="korrelopbouw"/>
      <sheetName val="granulometrie"/>
      <sheetName val="input granulometrie"/>
      <sheetName val="zeefanalyses"/>
      <sheetName val="dosering hulpstoffen"/>
      <sheetName val="detailoverzicht"/>
      <sheetName val="streefwaarde - richtwaarde"/>
      <sheetName val="mengselcatalogus"/>
      <sheetName val="alkalibalans"/>
      <sheetName val="opmerkingen"/>
      <sheetName val="wijzigingen"/>
      <sheetName val="technische fiche"/>
      <sheetName val="prijzen"/>
      <sheetName val="slakgehalte"/>
      <sheetName val="input divers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1 (2)"/>
      <sheetName val="2 (2)"/>
      <sheetName val="3 (2)"/>
      <sheetName val="4 (2)"/>
      <sheetName val="5 (2)"/>
      <sheetName val="6 (2)"/>
      <sheetName val="7 (2)"/>
      <sheetName val="8 (2)"/>
      <sheetName val="9 (2)"/>
      <sheetName val="10 (2)"/>
      <sheetName val="11 (2)"/>
      <sheetName val="12 (2)"/>
      <sheetName val="13 (2)"/>
      <sheetName val="14 (2)"/>
      <sheetName val="15 (2)"/>
      <sheetName val="16 (2)"/>
      <sheetName val="17 (2)"/>
      <sheetName val="18 (2)"/>
      <sheetName val="19 (2)"/>
      <sheetName val="20 (2)"/>
      <sheetName val="21 (2)"/>
      <sheetName val="22 (2)"/>
      <sheetName val="23 (2)"/>
      <sheetName val="24 (2)"/>
      <sheetName val="25 (2)"/>
      <sheetName val="26 (2)"/>
      <sheetName val="27 (2)"/>
      <sheetName val="28 (2)"/>
      <sheetName val="29 (2)"/>
      <sheetName val="30 (2)"/>
      <sheetName val="31 (2)"/>
      <sheetName val="32 (2)"/>
      <sheetName val="33 (2)"/>
      <sheetName val="34 (2)"/>
      <sheetName val="35 (2)"/>
      <sheetName val="36 (2)"/>
      <sheetName val="37 (2)"/>
      <sheetName val="38 (2)"/>
      <sheetName val="39 (2)"/>
      <sheetName val="40 (2)"/>
      <sheetName val="41 (2)"/>
      <sheetName val="42 (2)"/>
      <sheetName val="43 (2)"/>
      <sheetName val="44 (2)"/>
      <sheetName val="45 (2)"/>
      <sheetName val="46 (2)"/>
      <sheetName val="47 (2)"/>
      <sheetName val="48 (2)"/>
      <sheetName val="49 (2)"/>
      <sheetName val="50 (2)"/>
      <sheetName val="51 (2)"/>
      <sheetName val="52 (2)"/>
      <sheetName val="53 (2)"/>
      <sheetName val="54 (2)"/>
      <sheetName val="55 (2)"/>
      <sheetName val="56 (2)"/>
      <sheetName val="57 (2)"/>
      <sheetName val="57(2),"/>
      <sheetName val="58 (2)"/>
      <sheetName val="59 (2)"/>
      <sheetName val="60 (2)"/>
      <sheetName val="60(2),"/>
      <sheetName val="61 (2)"/>
      <sheetName val="62 (2)"/>
      <sheetName val="63 (2)"/>
      <sheetName val="64 (2)"/>
      <sheetName val="65 (2)"/>
      <sheetName val="66 (2)"/>
      <sheetName val="66(2),"/>
      <sheetName val="67 (2)"/>
      <sheetName val="68 (2)"/>
      <sheetName val="69 (2)"/>
      <sheetName val="1 (3)"/>
      <sheetName val="2 (3)"/>
      <sheetName val="3 (3)"/>
      <sheetName val="4 (3)"/>
      <sheetName val="5 (3)"/>
      <sheetName val="6 (3)"/>
      <sheetName val="7 (3)"/>
      <sheetName val="8 (3)"/>
      <sheetName val="9 (3)"/>
      <sheetName val="10 (3)"/>
      <sheetName val="11 (3)"/>
      <sheetName val="12 (3)"/>
      <sheetName val="13 (3)"/>
      <sheetName val="14 (3)"/>
      <sheetName val="15 (3)"/>
      <sheetName val="16 (3)"/>
      <sheetName val="17 (3)"/>
      <sheetName val="18 (3)"/>
      <sheetName val="19 (3)"/>
      <sheetName val="20 (3)"/>
      <sheetName val="21 (3)"/>
      <sheetName val="22 (3)"/>
      <sheetName val="23 (3)"/>
      <sheetName val="24 (3)"/>
      <sheetName val="25 (3)"/>
      <sheetName val="26 (3)"/>
      <sheetName val="27 (3)"/>
      <sheetName val="28 (3)"/>
      <sheetName val="29 (3)"/>
      <sheetName val="30 (3)"/>
      <sheetName val="31 (3)"/>
      <sheetName val="32 (3)"/>
      <sheetName val="33 (3)"/>
      <sheetName val="34 (3)"/>
      <sheetName val="35 (3)"/>
      <sheetName val="36 (3)"/>
      <sheetName val="37 (3)"/>
      <sheetName val="38 (3)"/>
      <sheetName val="39 (3)"/>
      <sheetName val="40 (3)"/>
      <sheetName val="41 (3)"/>
      <sheetName val="42 (3)"/>
      <sheetName val="43 (3)"/>
      <sheetName val="44 (3)"/>
      <sheetName val="45 (3)"/>
      <sheetName val="46 (3)"/>
      <sheetName val="47 (3)"/>
      <sheetName val="48 (3)"/>
      <sheetName val="49 (3)"/>
      <sheetName val="50 (3)"/>
      <sheetName val="51 (3)"/>
      <sheetName val="52 (3)"/>
      <sheetName val="53 (3)"/>
      <sheetName val="54 (3)"/>
      <sheetName val="55 (3)"/>
      <sheetName val="56 (3)"/>
      <sheetName val="57 (3)"/>
      <sheetName val="58 (3)"/>
      <sheetName val="59 (3)"/>
      <sheetName val="60 (3)"/>
      <sheetName val="61 (3)"/>
      <sheetName val="62 (3)"/>
      <sheetName val="63 (3)"/>
      <sheetName val="64 (3)"/>
      <sheetName val="65 (3)"/>
      <sheetName val="66 (3)"/>
      <sheetName val="67 (3)"/>
      <sheetName val="68 (3)"/>
      <sheetName val="69 (3)"/>
      <sheetName val="46 (4)"/>
      <sheetName val="47 (4)"/>
      <sheetName val="48 (4)"/>
      <sheetName val="49 (4)"/>
      <sheetName val="50 (4)"/>
      <sheetName val="51 (4)"/>
      <sheetName val="52 (4)"/>
      <sheetName val="53 (4)"/>
      <sheetName val="54 (4)"/>
      <sheetName val="55 (4)"/>
      <sheetName val="56 (4)"/>
      <sheetName val="57 (4)"/>
      <sheetName val="58 (4)"/>
      <sheetName val="59 (4)"/>
      <sheetName val="60 (4)"/>
      <sheetName val="61 (4)"/>
      <sheetName val="62 (4)"/>
      <sheetName val="63 (4)"/>
      <sheetName val="64 (4)"/>
      <sheetName val="65 (4)"/>
      <sheetName val="66 (4)"/>
      <sheetName val="67 (4)"/>
      <sheetName val="68 (4)"/>
      <sheetName val="69 (4)"/>
      <sheetName val="46 (5)"/>
      <sheetName val="47 (5)"/>
      <sheetName val="48 (5)"/>
      <sheetName val="49 (5)"/>
      <sheetName val="50 (5)"/>
      <sheetName val="51 (5)"/>
      <sheetName val="52 (5)"/>
      <sheetName val="53 (5)"/>
      <sheetName val="54 (5)"/>
      <sheetName val="55 (5)"/>
      <sheetName val="56 (5)"/>
      <sheetName val="57 (5)"/>
      <sheetName val="58 (5)"/>
      <sheetName val="59 (5)"/>
      <sheetName val="60 (5)"/>
      <sheetName val="61 (5)"/>
      <sheetName val="62 (5)"/>
      <sheetName val="63 (5)"/>
      <sheetName val="64 (5)"/>
      <sheetName val="65 (5)"/>
      <sheetName val="66 (5)"/>
      <sheetName val="67 (5)"/>
      <sheetName val="68 (5)"/>
      <sheetName val="69 (5)"/>
      <sheetName val="46 (6)"/>
      <sheetName val="47 (6)"/>
      <sheetName val="48 (6)"/>
      <sheetName val="49 (6)"/>
      <sheetName val="50 (6)"/>
      <sheetName val="51 (6)"/>
      <sheetName val="52 (6)"/>
      <sheetName val="53 (6)"/>
      <sheetName val="54 (6)"/>
      <sheetName val="55 (6)"/>
      <sheetName val="56 (6)"/>
      <sheetName val="57 (6)"/>
      <sheetName val="58 (6)"/>
      <sheetName val="59 (6)"/>
      <sheetName val="60 (6)"/>
      <sheetName val="61 (6)"/>
      <sheetName val="62 (6)"/>
      <sheetName val="63 (6)"/>
      <sheetName val="64 (6)"/>
      <sheetName val="65 (6)"/>
      <sheetName val="66 (6)"/>
      <sheetName val="67 (6)"/>
      <sheetName val="68 (6)"/>
      <sheetName val="69 (6)"/>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9"/>
      <sheetName val="100"/>
      <sheetName val="93"/>
      <sheetName val="94"/>
      <sheetName val="95"/>
      <sheetName val="96"/>
      <sheetName val="97"/>
      <sheetName val="98"/>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120"/>
      <sheetName val="121"/>
      <sheetName val="122"/>
      <sheetName val="123"/>
      <sheetName val="124"/>
      <sheetName val="125"/>
      <sheetName val="126"/>
      <sheetName val="127"/>
      <sheetName val="128"/>
      <sheetName val="129"/>
      <sheetName val="130"/>
      <sheetName val="131"/>
      <sheetName val="132"/>
      <sheetName val="133"/>
      <sheetName val="134"/>
      <sheetName val="135"/>
      <sheetName val="136"/>
      <sheetName val="137"/>
      <sheetName val="138"/>
      <sheetName val="139"/>
      <sheetName val="140"/>
      <sheetName val="141"/>
      <sheetName val="142"/>
      <sheetName val="143"/>
      <sheetName val="144"/>
      <sheetName val="145"/>
      <sheetName val="146"/>
      <sheetName val="147"/>
      <sheetName val="148"/>
      <sheetName val="149"/>
      <sheetName val="150"/>
      <sheetName val="151"/>
    </sheetNames>
    <sheetDataSet>
      <sheetData sheetId="0" refreshError="1">
        <row r="1">
          <cell r="M1">
            <v>43872</v>
          </cell>
        </row>
        <row r="4">
          <cell r="B4" t="str">
            <v>CEM I 52,5 N - VVM nv. - Gent</v>
          </cell>
          <cell r="C4" t="str">
            <v xml:space="preserve">CEM I 52,5 N </v>
          </cell>
          <cell r="D4" t="str">
            <v>VVM nv.</v>
          </cell>
          <cell r="E4" t="str">
            <v>Rieme</v>
          </cell>
          <cell r="F4">
            <v>3140</v>
          </cell>
          <cell r="G4"/>
          <cell r="H4">
            <v>1E-3</v>
          </cell>
          <cell r="I4">
            <v>0</v>
          </cell>
          <cell r="J4">
            <v>7.7999999999999996E-3</v>
          </cell>
          <cell r="K4">
            <v>0</v>
          </cell>
          <cell r="L4"/>
          <cell r="M4">
            <v>0.157</v>
          </cell>
          <cell r="N4">
            <v>157</v>
          </cell>
          <cell r="O4">
            <v>0.29099999999999998</v>
          </cell>
          <cell r="P4">
            <v>67.599999999999994</v>
          </cell>
          <cell r="Q4">
            <v>0.85</v>
          </cell>
          <cell r="R4">
            <v>62</v>
          </cell>
          <cell r="S4">
            <v>33</v>
          </cell>
        </row>
        <row r="5">
          <cell r="B5" t="str">
            <v>CEM III/A 42,5 N LA - VVM nv. - Gent</v>
          </cell>
          <cell r="C5" t="str">
            <v>CEM III/A 42,5 N LA</v>
          </cell>
          <cell r="D5" t="str">
            <v>VVM nv.</v>
          </cell>
          <cell r="E5" t="str">
            <v>Rieme</v>
          </cell>
          <cell r="F5">
            <v>3030</v>
          </cell>
          <cell r="G5"/>
          <cell r="H5">
            <v>1E-3</v>
          </cell>
          <cell r="I5">
            <v>0</v>
          </cell>
          <cell r="J5">
            <v>8.9999999999999993E-3</v>
          </cell>
          <cell r="K5">
            <v>0</v>
          </cell>
          <cell r="L5"/>
          <cell r="M5">
            <v>0.14474999999999999</v>
          </cell>
          <cell r="N5">
            <v>144.75</v>
          </cell>
          <cell r="O5">
            <v>0.29599999999999999</v>
          </cell>
          <cell r="P5">
            <v>55.8</v>
          </cell>
          <cell r="Q5">
            <v>0.8</v>
          </cell>
          <cell r="R5">
            <v>45</v>
          </cell>
          <cell r="S5">
            <v>25</v>
          </cell>
        </row>
        <row r="6">
          <cell r="B6" t="str">
            <v>CEM III/B 42,5 N LH/SR - VVM nv. - Gent</v>
          </cell>
          <cell r="C6" t="str">
            <v>CEM III/B 42,5 N LH/SR</v>
          </cell>
          <cell r="D6" t="str">
            <v>VVM nv.</v>
          </cell>
          <cell r="E6" t="str">
            <v>Rieme</v>
          </cell>
          <cell r="F6">
            <v>2980</v>
          </cell>
          <cell r="G6"/>
          <cell r="H6">
            <v>1E-3</v>
          </cell>
          <cell r="I6">
            <v>0</v>
          </cell>
          <cell r="J6">
            <v>1.2999999999999999E-2</v>
          </cell>
          <cell r="K6">
            <v>0</v>
          </cell>
          <cell r="L6"/>
          <cell r="M6">
            <v>0.16250000000000001</v>
          </cell>
          <cell r="N6">
            <v>162.5</v>
          </cell>
          <cell r="O6">
            <v>0.29799999999999999</v>
          </cell>
          <cell r="P6">
            <v>56.2</v>
          </cell>
          <cell r="Q6">
            <v>0.75</v>
          </cell>
          <cell r="R6">
            <v>30</v>
          </cell>
          <cell r="S6">
            <v>18</v>
          </cell>
        </row>
        <row r="7">
          <cell r="B7"/>
          <cell r="C7"/>
          <cell r="D7"/>
          <cell r="E7"/>
          <cell r="F7"/>
          <cell r="G7"/>
          <cell r="H7"/>
          <cell r="I7"/>
          <cell r="J7"/>
          <cell r="K7"/>
          <cell r="L7"/>
          <cell r="M7"/>
          <cell r="N7"/>
          <cell r="O7"/>
          <cell r="P7"/>
          <cell r="Q7"/>
          <cell r="R7"/>
          <cell r="S7"/>
        </row>
        <row r="8">
          <cell r="B8"/>
          <cell r="C8"/>
          <cell r="D8"/>
          <cell r="E8"/>
          <cell r="F8"/>
          <cell r="G8"/>
          <cell r="H8"/>
          <cell r="I8"/>
          <cell r="J8"/>
          <cell r="K8"/>
          <cell r="L8"/>
          <cell r="M8"/>
          <cell r="N8"/>
          <cell r="O8"/>
          <cell r="P8"/>
          <cell r="Q8"/>
          <cell r="R8"/>
          <cell r="S8"/>
        </row>
        <row r="9">
          <cell r="B9"/>
          <cell r="C9"/>
          <cell r="D9"/>
          <cell r="E9"/>
          <cell r="F9"/>
          <cell r="G9"/>
          <cell r="H9"/>
          <cell r="I9"/>
          <cell r="J9"/>
          <cell r="K9"/>
          <cell r="L9"/>
          <cell r="M9"/>
          <cell r="N9"/>
          <cell r="O9"/>
          <cell r="P9"/>
          <cell r="Q9"/>
          <cell r="R9"/>
          <cell r="S9"/>
        </row>
        <row r="10">
          <cell r="B10" t="str">
            <v/>
          </cell>
          <cell r="C10"/>
          <cell r="D10"/>
          <cell r="E10"/>
          <cell r="F10"/>
          <cell r="G10"/>
          <cell r="H10"/>
          <cell r="I10"/>
          <cell r="J10"/>
          <cell r="K10"/>
          <cell r="L10"/>
          <cell r="M10" t="str">
            <v/>
          </cell>
          <cell r="N10"/>
          <cell r="O10"/>
          <cell r="P10"/>
        </row>
        <row r="11">
          <cell r="B11" t="str">
            <v/>
          </cell>
          <cell r="C11"/>
          <cell r="D11"/>
          <cell r="E11"/>
          <cell r="F11"/>
          <cell r="G11"/>
          <cell r="H11"/>
          <cell r="I11"/>
          <cell r="J11"/>
          <cell r="K11"/>
          <cell r="L11"/>
          <cell r="M11" t="str">
            <v/>
          </cell>
          <cell r="N11"/>
          <cell r="O11"/>
          <cell r="P11"/>
        </row>
        <row r="12">
          <cell r="B12" t="str">
            <v/>
          </cell>
          <cell r="C12"/>
          <cell r="D12"/>
          <cell r="E12"/>
          <cell r="F12"/>
          <cell r="G12"/>
          <cell r="H12"/>
          <cell r="I12"/>
          <cell r="J12"/>
          <cell r="K12"/>
          <cell r="L12"/>
          <cell r="M12" t="str">
            <v/>
          </cell>
          <cell r="N12"/>
          <cell r="O12"/>
          <cell r="P12"/>
        </row>
        <row r="13">
          <cell r="B13" t="str">
            <v/>
          </cell>
          <cell r="C13"/>
          <cell r="D13"/>
          <cell r="E13"/>
          <cell r="F13"/>
          <cell r="G13"/>
          <cell r="H13"/>
          <cell r="I13"/>
          <cell r="J13"/>
          <cell r="K13"/>
          <cell r="L13"/>
          <cell r="M13" t="str">
            <v/>
          </cell>
          <cell r="N13"/>
          <cell r="O13"/>
          <cell r="P13"/>
        </row>
        <row r="14">
          <cell r="B14" t="str">
            <v/>
          </cell>
          <cell r="C14"/>
          <cell r="D14"/>
          <cell r="E14"/>
          <cell r="F14"/>
          <cell r="G14"/>
          <cell r="H14"/>
          <cell r="I14"/>
          <cell r="J14"/>
          <cell r="K14"/>
          <cell r="L14"/>
          <cell r="M14" t="str">
            <v/>
          </cell>
          <cell r="N14"/>
          <cell r="O14"/>
          <cell r="P14"/>
        </row>
        <row r="15">
          <cell r="B15" t="str">
            <v/>
          </cell>
          <cell r="C15"/>
          <cell r="D15"/>
          <cell r="E15"/>
          <cell r="F15"/>
          <cell r="G15"/>
          <cell r="H15"/>
          <cell r="I15"/>
          <cell r="J15"/>
          <cell r="K15"/>
          <cell r="L15"/>
          <cell r="M15" t="str">
            <v/>
          </cell>
          <cell r="N15"/>
          <cell r="O15"/>
          <cell r="P15"/>
        </row>
        <row r="16">
          <cell r="B16" t="str">
            <v/>
          </cell>
          <cell r="C16"/>
          <cell r="D16"/>
          <cell r="E16"/>
          <cell r="F16"/>
          <cell r="G16"/>
          <cell r="H16"/>
          <cell r="I16"/>
          <cell r="J16"/>
          <cell r="K16"/>
          <cell r="L16"/>
          <cell r="M16" t="str">
            <v/>
          </cell>
          <cell r="N16"/>
          <cell r="O16"/>
          <cell r="P16"/>
        </row>
        <row r="17">
          <cell r="B17" t="str">
            <v/>
          </cell>
          <cell r="C17"/>
          <cell r="D17"/>
          <cell r="E17"/>
          <cell r="F17"/>
          <cell r="G17"/>
          <cell r="H17"/>
          <cell r="I17"/>
          <cell r="J17"/>
          <cell r="K17"/>
          <cell r="L17"/>
          <cell r="M17" t="str">
            <v/>
          </cell>
          <cell r="N17"/>
          <cell r="O17"/>
          <cell r="P17"/>
        </row>
        <row r="18">
          <cell r="B18" t="str">
            <v/>
          </cell>
          <cell r="C18"/>
          <cell r="D18"/>
          <cell r="E18"/>
          <cell r="F18"/>
          <cell r="G18"/>
          <cell r="H18"/>
          <cell r="I18"/>
          <cell r="J18"/>
          <cell r="K18"/>
          <cell r="L18"/>
          <cell r="M18" t="str">
            <v/>
          </cell>
          <cell r="N18"/>
          <cell r="O18"/>
          <cell r="P18"/>
        </row>
        <row r="19">
          <cell r="B19" t="str">
            <v/>
          </cell>
          <cell r="C19"/>
          <cell r="D19"/>
          <cell r="E19"/>
          <cell r="F19"/>
          <cell r="G19"/>
          <cell r="H19"/>
          <cell r="I19"/>
          <cell r="J19"/>
          <cell r="K19"/>
          <cell r="L19"/>
          <cell r="M19" t="str">
            <v/>
          </cell>
          <cell r="N19"/>
          <cell r="O19"/>
          <cell r="P19"/>
        </row>
        <row r="20">
          <cell r="B20" t="str">
            <v/>
          </cell>
          <cell r="C20"/>
          <cell r="D20"/>
          <cell r="E20"/>
          <cell r="F20"/>
          <cell r="G20"/>
          <cell r="H20"/>
          <cell r="I20"/>
          <cell r="J20"/>
          <cell r="K20"/>
          <cell r="L20"/>
          <cell r="M20" t="str">
            <v/>
          </cell>
          <cell r="N20"/>
          <cell r="O20"/>
          <cell r="P20"/>
        </row>
        <row r="21">
          <cell r="B21" t="str">
            <v/>
          </cell>
          <cell r="C21"/>
          <cell r="D21"/>
          <cell r="E21"/>
          <cell r="F21"/>
          <cell r="G21"/>
          <cell r="H21"/>
          <cell r="I21"/>
          <cell r="J21"/>
          <cell r="K21"/>
          <cell r="L21"/>
          <cell r="M21" t="str">
            <v/>
          </cell>
          <cell r="N21"/>
          <cell r="O21"/>
          <cell r="P21"/>
        </row>
        <row r="22">
          <cell r="B22" t="str">
            <v/>
          </cell>
          <cell r="C22"/>
          <cell r="D22"/>
          <cell r="E22"/>
          <cell r="F22"/>
          <cell r="G22"/>
          <cell r="H22"/>
          <cell r="I22"/>
          <cell r="J22"/>
          <cell r="K22"/>
          <cell r="L22"/>
          <cell r="M22" t="str">
            <v/>
          </cell>
          <cell r="N22"/>
          <cell r="O22"/>
          <cell r="P22"/>
        </row>
        <row r="23">
          <cell r="B23" t="str">
            <v/>
          </cell>
          <cell r="C23"/>
          <cell r="D23"/>
          <cell r="E23"/>
          <cell r="F23"/>
          <cell r="G23"/>
          <cell r="H23"/>
          <cell r="I23"/>
          <cell r="J23"/>
          <cell r="K23"/>
          <cell r="L23"/>
          <cell r="M23" t="str">
            <v/>
          </cell>
          <cell r="N23"/>
          <cell r="O23"/>
          <cell r="P23"/>
        </row>
        <row r="24">
          <cell r="B24" t="str">
            <v/>
          </cell>
          <cell r="C24"/>
          <cell r="D24"/>
          <cell r="E24"/>
          <cell r="F24"/>
          <cell r="G24"/>
          <cell r="H24"/>
          <cell r="I24"/>
          <cell r="J24"/>
          <cell r="K24"/>
          <cell r="L24"/>
          <cell r="M24" t="str">
            <v/>
          </cell>
          <cell r="N24"/>
          <cell r="O24"/>
          <cell r="P24"/>
        </row>
        <row r="25">
          <cell r="B25" t="str">
            <v/>
          </cell>
          <cell r="C25"/>
          <cell r="D25"/>
          <cell r="E25"/>
          <cell r="F25"/>
          <cell r="G25"/>
          <cell r="H25"/>
          <cell r="I25"/>
          <cell r="J25"/>
          <cell r="K25"/>
          <cell r="L25"/>
          <cell r="M25" t="str">
            <v/>
          </cell>
          <cell r="N25"/>
          <cell r="O25"/>
          <cell r="P25"/>
        </row>
        <row r="26">
          <cell r="B26" t="str">
            <v/>
          </cell>
          <cell r="C26"/>
          <cell r="D26"/>
          <cell r="E26"/>
          <cell r="F26"/>
          <cell r="G26"/>
          <cell r="H26"/>
          <cell r="I26"/>
          <cell r="J26"/>
          <cell r="K26"/>
          <cell r="L26"/>
          <cell r="M26" t="str">
            <v/>
          </cell>
          <cell r="N26"/>
          <cell r="O26"/>
          <cell r="P26"/>
        </row>
        <row r="27">
          <cell r="B27" t="str">
            <v/>
          </cell>
          <cell r="C27"/>
          <cell r="D27"/>
          <cell r="E27"/>
          <cell r="F27"/>
          <cell r="G27"/>
          <cell r="H27"/>
          <cell r="I27"/>
          <cell r="J27"/>
          <cell r="K27"/>
          <cell r="L27"/>
          <cell r="M27" t="str">
            <v/>
          </cell>
          <cell r="N27"/>
          <cell r="O27"/>
          <cell r="P27"/>
        </row>
        <row r="28">
          <cell r="B28" t="str">
            <v/>
          </cell>
          <cell r="C28"/>
          <cell r="D28"/>
          <cell r="E28"/>
          <cell r="F28"/>
          <cell r="G28"/>
          <cell r="H28"/>
          <cell r="I28"/>
          <cell r="J28"/>
          <cell r="K28"/>
          <cell r="L28"/>
          <cell r="M28" t="str">
            <v/>
          </cell>
          <cell r="N28"/>
          <cell r="O28"/>
          <cell r="P28"/>
        </row>
        <row r="29">
          <cell r="B29" t="str">
            <v/>
          </cell>
          <cell r="C29"/>
          <cell r="D29"/>
          <cell r="E29"/>
          <cell r="F29"/>
          <cell r="G29"/>
          <cell r="H29"/>
          <cell r="I29"/>
          <cell r="J29"/>
          <cell r="K29"/>
          <cell r="L29"/>
          <cell r="M29" t="str">
            <v/>
          </cell>
          <cell r="N29"/>
          <cell r="O29"/>
          <cell r="P29"/>
        </row>
        <row r="30">
          <cell r="B30" t="str">
            <v/>
          </cell>
          <cell r="C30"/>
          <cell r="D30"/>
          <cell r="E30"/>
          <cell r="F30"/>
          <cell r="G30"/>
          <cell r="H30"/>
          <cell r="I30"/>
          <cell r="J30"/>
          <cell r="K30"/>
          <cell r="L30"/>
          <cell r="M30" t="str">
            <v/>
          </cell>
          <cell r="N30"/>
          <cell r="O30"/>
        </row>
        <row r="31">
          <cell r="B31" t="str">
            <v/>
          </cell>
          <cell r="C31"/>
          <cell r="D31"/>
          <cell r="E31"/>
          <cell r="F31"/>
          <cell r="G31"/>
          <cell r="H31"/>
          <cell r="I31"/>
          <cell r="J31"/>
          <cell r="K31"/>
          <cell r="L31"/>
          <cell r="M31" t="str">
            <v/>
          </cell>
          <cell r="N31"/>
          <cell r="O31"/>
        </row>
        <row r="32">
          <cell r="B32" t="str">
            <v/>
          </cell>
          <cell r="C32"/>
          <cell r="D32"/>
          <cell r="E32"/>
          <cell r="F32"/>
          <cell r="G32"/>
          <cell r="H32"/>
          <cell r="I32"/>
          <cell r="J32"/>
          <cell r="K32"/>
          <cell r="L32"/>
          <cell r="M32" t="str">
            <v/>
          </cell>
          <cell r="N32"/>
          <cell r="O32"/>
        </row>
        <row r="33">
          <cell r="B33" t="str">
            <v/>
          </cell>
          <cell r="C33"/>
          <cell r="D33"/>
          <cell r="E33"/>
          <cell r="F33"/>
          <cell r="G33"/>
          <cell r="H33"/>
          <cell r="I33"/>
          <cell r="J33"/>
          <cell r="K33"/>
          <cell r="L33"/>
          <cell r="M33" t="str">
            <v/>
          </cell>
          <cell r="N33"/>
          <cell r="O33"/>
        </row>
        <row r="34">
          <cell r="B34" t="str">
            <v/>
          </cell>
          <cell r="C34"/>
          <cell r="D34"/>
          <cell r="E34"/>
          <cell r="F34"/>
          <cell r="G34"/>
          <cell r="H34"/>
          <cell r="I34"/>
          <cell r="J34"/>
          <cell r="K34"/>
          <cell r="L34"/>
          <cell r="M34" t="str">
            <v/>
          </cell>
          <cell r="N34"/>
          <cell r="O34"/>
        </row>
      </sheetData>
      <sheetData sheetId="1" refreshError="1">
        <row r="4">
          <cell r="B4"/>
          <cell r="C4"/>
          <cell r="D4"/>
          <cell r="E4"/>
          <cell r="F4"/>
          <cell r="G4"/>
          <cell r="H4"/>
          <cell r="I4"/>
          <cell r="J4"/>
          <cell r="K4"/>
          <cell r="L4"/>
          <cell r="M4"/>
          <cell r="N4"/>
          <cell r="O4"/>
        </row>
        <row r="5">
          <cell r="B5" t="str">
            <v>ECO2cem</v>
          </cell>
          <cell r="C5" t="str">
            <v>ECO2cem</v>
          </cell>
          <cell r="D5" t="str">
            <v>Orcem BV.</v>
          </cell>
          <cell r="E5" t="str">
            <v>Moerdijk</v>
          </cell>
          <cell r="F5">
            <v>2890</v>
          </cell>
          <cell r="G5"/>
          <cell r="H5">
            <v>5.0000000000000001E-4</v>
          </cell>
          <cell r="I5">
            <v>0</v>
          </cell>
          <cell r="J5">
            <v>8.9999999999999993E-3</v>
          </cell>
          <cell r="K5">
            <v>0</v>
          </cell>
          <cell r="L5"/>
          <cell r="M5" t="str">
            <v/>
          </cell>
          <cell r="N5"/>
          <cell r="O5">
            <v>0.25</v>
          </cell>
        </row>
        <row r="6">
          <cell r="B6" t="str">
            <v>kalksteenfiller</v>
          </cell>
          <cell r="C6" t="str">
            <v>Calcitec</v>
          </cell>
          <cell r="D6" t="str">
            <v>Carmeuse</v>
          </cell>
          <cell r="E6" t="str">
            <v>Carmeuse</v>
          </cell>
          <cell r="F6">
            <v>2720</v>
          </cell>
          <cell r="G6"/>
          <cell r="H6">
            <v>1.4999999999999999E-4</v>
          </cell>
          <cell r="I6">
            <v>0</v>
          </cell>
          <cell r="J6">
            <v>1E-4</v>
          </cell>
          <cell r="K6">
            <v>0</v>
          </cell>
          <cell r="L6"/>
          <cell r="M6">
            <v>6.9000000000000006E-2</v>
          </cell>
          <cell r="N6">
            <v>69</v>
          </cell>
          <cell r="O6">
            <v>0.22500000000000001</v>
          </cell>
        </row>
        <row r="7">
          <cell r="B7" t="str">
            <v/>
          </cell>
          <cell r="C7"/>
          <cell r="D7"/>
          <cell r="E7"/>
          <cell r="F7"/>
          <cell r="G7"/>
          <cell r="H7"/>
          <cell r="I7"/>
          <cell r="J7"/>
          <cell r="K7"/>
          <cell r="L7"/>
          <cell r="M7" t="str">
            <v/>
          </cell>
          <cell r="N7"/>
          <cell r="O7"/>
        </row>
        <row r="8">
          <cell r="B8" t="str">
            <v/>
          </cell>
          <cell r="C8"/>
          <cell r="D8"/>
          <cell r="E8"/>
          <cell r="F8"/>
          <cell r="G8"/>
          <cell r="H8"/>
          <cell r="I8"/>
          <cell r="J8"/>
          <cell r="K8"/>
          <cell r="L8"/>
          <cell r="M8" t="str">
            <v/>
          </cell>
          <cell r="N8"/>
          <cell r="O8"/>
        </row>
        <row r="9">
          <cell r="B9" t="str">
            <v/>
          </cell>
          <cell r="C9"/>
          <cell r="D9"/>
          <cell r="E9"/>
          <cell r="F9"/>
          <cell r="G9"/>
          <cell r="H9"/>
          <cell r="I9"/>
          <cell r="J9"/>
          <cell r="K9"/>
          <cell r="L9"/>
          <cell r="M9" t="str">
            <v/>
          </cell>
          <cell r="N9"/>
          <cell r="O9"/>
        </row>
        <row r="10">
          <cell r="B10" t="str">
            <v/>
          </cell>
          <cell r="C10"/>
          <cell r="D10"/>
          <cell r="E10"/>
          <cell r="F10"/>
          <cell r="G10"/>
          <cell r="H10"/>
          <cell r="I10"/>
          <cell r="J10"/>
          <cell r="K10"/>
          <cell r="L10"/>
          <cell r="M10" t="str">
            <v/>
          </cell>
          <cell r="N10"/>
          <cell r="O10"/>
        </row>
        <row r="11">
          <cell r="B11" t="str">
            <v/>
          </cell>
          <cell r="C11"/>
          <cell r="D11"/>
          <cell r="E11"/>
          <cell r="F11"/>
          <cell r="G11"/>
          <cell r="H11"/>
          <cell r="I11"/>
          <cell r="J11"/>
          <cell r="K11"/>
          <cell r="L11"/>
          <cell r="M11" t="str">
            <v/>
          </cell>
          <cell r="N11"/>
          <cell r="O11"/>
        </row>
        <row r="12">
          <cell r="B12" t="str">
            <v/>
          </cell>
          <cell r="C12"/>
          <cell r="D12"/>
          <cell r="E12"/>
          <cell r="F12"/>
          <cell r="G12"/>
          <cell r="H12"/>
          <cell r="I12"/>
          <cell r="J12"/>
          <cell r="K12"/>
          <cell r="L12"/>
          <cell r="M12" t="str">
            <v/>
          </cell>
          <cell r="N12"/>
          <cell r="O12"/>
        </row>
        <row r="13">
          <cell r="B13" t="str">
            <v/>
          </cell>
          <cell r="C13"/>
          <cell r="D13"/>
          <cell r="E13"/>
          <cell r="F13"/>
          <cell r="G13"/>
          <cell r="H13"/>
          <cell r="I13"/>
          <cell r="J13"/>
          <cell r="K13"/>
          <cell r="L13"/>
          <cell r="M13" t="str">
            <v/>
          </cell>
          <cell r="N13"/>
          <cell r="O13"/>
        </row>
        <row r="14">
          <cell r="B14" t="str">
            <v/>
          </cell>
          <cell r="C14"/>
          <cell r="D14"/>
          <cell r="E14"/>
          <cell r="F14"/>
          <cell r="G14"/>
          <cell r="H14"/>
          <cell r="I14"/>
          <cell r="J14"/>
          <cell r="K14"/>
          <cell r="L14"/>
          <cell r="M14" t="str">
            <v/>
          </cell>
          <cell r="N14"/>
          <cell r="O14"/>
        </row>
        <row r="15">
          <cell r="B15" t="str">
            <v/>
          </cell>
          <cell r="C15"/>
          <cell r="D15"/>
          <cell r="E15"/>
          <cell r="F15"/>
          <cell r="G15"/>
          <cell r="H15"/>
          <cell r="I15"/>
          <cell r="J15"/>
          <cell r="K15"/>
          <cell r="L15"/>
          <cell r="M15" t="str">
            <v/>
          </cell>
          <cell r="N15"/>
          <cell r="O15"/>
        </row>
        <row r="16">
          <cell r="B16" t="str">
            <v/>
          </cell>
          <cell r="C16"/>
          <cell r="D16"/>
          <cell r="E16"/>
          <cell r="F16"/>
          <cell r="G16"/>
          <cell r="H16"/>
          <cell r="I16"/>
          <cell r="J16"/>
          <cell r="K16"/>
          <cell r="L16"/>
          <cell r="M16" t="str">
            <v/>
          </cell>
          <cell r="N16"/>
          <cell r="O16"/>
        </row>
        <row r="17">
          <cell r="B17" t="str">
            <v/>
          </cell>
          <cell r="C17"/>
          <cell r="D17"/>
          <cell r="E17"/>
          <cell r="F17"/>
          <cell r="G17"/>
          <cell r="H17"/>
          <cell r="I17"/>
          <cell r="J17"/>
          <cell r="K17"/>
          <cell r="L17"/>
          <cell r="M17" t="str">
            <v/>
          </cell>
          <cell r="N17"/>
          <cell r="O17"/>
        </row>
        <row r="18">
          <cell r="B18" t="str">
            <v/>
          </cell>
          <cell r="C18"/>
          <cell r="D18"/>
          <cell r="E18"/>
          <cell r="F18"/>
          <cell r="G18"/>
          <cell r="H18"/>
          <cell r="I18"/>
          <cell r="J18"/>
          <cell r="K18"/>
          <cell r="L18"/>
          <cell r="M18" t="str">
            <v/>
          </cell>
          <cell r="N18"/>
          <cell r="O18"/>
        </row>
        <row r="19">
          <cell r="B19" t="str">
            <v/>
          </cell>
          <cell r="C19"/>
          <cell r="D19"/>
          <cell r="E19"/>
          <cell r="F19"/>
          <cell r="G19"/>
          <cell r="H19"/>
          <cell r="I19"/>
          <cell r="J19"/>
          <cell r="K19"/>
          <cell r="L19"/>
          <cell r="M19" t="str">
            <v/>
          </cell>
          <cell r="N19"/>
          <cell r="O19"/>
        </row>
        <row r="20">
          <cell r="B20" t="str">
            <v/>
          </cell>
          <cell r="C20"/>
          <cell r="D20"/>
          <cell r="E20"/>
          <cell r="F20"/>
          <cell r="G20"/>
          <cell r="H20"/>
          <cell r="I20"/>
          <cell r="J20"/>
          <cell r="K20"/>
          <cell r="L20"/>
          <cell r="M20" t="str">
            <v/>
          </cell>
          <cell r="N20"/>
          <cell r="O20"/>
        </row>
        <row r="21">
          <cell r="B21" t="str">
            <v/>
          </cell>
          <cell r="C21"/>
          <cell r="D21"/>
          <cell r="E21"/>
          <cell r="F21"/>
          <cell r="G21"/>
          <cell r="H21"/>
          <cell r="I21"/>
          <cell r="J21"/>
          <cell r="K21"/>
          <cell r="L21"/>
          <cell r="M21" t="str">
            <v/>
          </cell>
          <cell r="N21"/>
          <cell r="O21"/>
        </row>
        <row r="22">
          <cell r="B22" t="str">
            <v/>
          </cell>
          <cell r="C22"/>
          <cell r="D22"/>
          <cell r="E22"/>
          <cell r="F22"/>
          <cell r="G22"/>
          <cell r="H22"/>
          <cell r="I22"/>
          <cell r="J22"/>
          <cell r="K22"/>
          <cell r="L22"/>
          <cell r="M22" t="str">
            <v/>
          </cell>
          <cell r="N22"/>
          <cell r="O22"/>
        </row>
        <row r="23">
          <cell r="B23" t="str">
            <v/>
          </cell>
          <cell r="C23"/>
          <cell r="D23"/>
          <cell r="E23"/>
          <cell r="F23"/>
          <cell r="G23"/>
          <cell r="H23"/>
          <cell r="I23"/>
          <cell r="J23"/>
          <cell r="K23"/>
          <cell r="L23"/>
          <cell r="M23" t="str">
            <v/>
          </cell>
          <cell r="N23"/>
          <cell r="O23"/>
        </row>
        <row r="24">
          <cell r="B24" t="str">
            <v/>
          </cell>
          <cell r="C24"/>
          <cell r="D24"/>
          <cell r="E24"/>
          <cell r="F24"/>
          <cell r="G24"/>
          <cell r="H24"/>
          <cell r="I24"/>
          <cell r="J24"/>
          <cell r="K24"/>
          <cell r="L24"/>
          <cell r="M24" t="str">
            <v/>
          </cell>
          <cell r="N24"/>
          <cell r="O24"/>
        </row>
        <row r="25">
          <cell r="B25" t="str">
            <v/>
          </cell>
          <cell r="C25"/>
          <cell r="D25"/>
          <cell r="E25"/>
          <cell r="F25"/>
          <cell r="G25"/>
          <cell r="H25"/>
          <cell r="I25"/>
          <cell r="J25"/>
          <cell r="K25"/>
          <cell r="L25"/>
          <cell r="M25" t="str">
            <v/>
          </cell>
          <cell r="N25"/>
          <cell r="O25"/>
        </row>
        <row r="26">
          <cell r="B26" t="str">
            <v/>
          </cell>
          <cell r="C26"/>
          <cell r="D26"/>
          <cell r="E26"/>
          <cell r="F26"/>
          <cell r="G26"/>
          <cell r="H26"/>
          <cell r="I26"/>
          <cell r="J26"/>
          <cell r="K26"/>
          <cell r="L26"/>
          <cell r="M26" t="str">
            <v/>
          </cell>
          <cell r="N26"/>
          <cell r="O26"/>
        </row>
        <row r="27">
          <cell r="B27" t="str">
            <v/>
          </cell>
          <cell r="C27"/>
          <cell r="D27"/>
          <cell r="E27"/>
          <cell r="F27"/>
          <cell r="G27"/>
          <cell r="H27"/>
          <cell r="I27"/>
          <cell r="J27"/>
          <cell r="K27"/>
          <cell r="L27"/>
          <cell r="M27" t="str">
            <v/>
          </cell>
          <cell r="N27"/>
          <cell r="O27"/>
        </row>
        <row r="28">
          <cell r="B28" t="str">
            <v/>
          </cell>
          <cell r="C28"/>
          <cell r="D28"/>
          <cell r="E28"/>
          <cell r="F28"/>
          <cell r="G28"/>
          <cell r="H28"/>
          <cell r="I28"/>
          <cell r="J28"/>
          <cell r="K28"/>
          <cell r="L28"/>
          <cell r="M28" t="str">
            <v/>
          </cell>
          <cell r="N28"/>
          <cell r="O28"/>
        </row>
        <row r="29">
          <cell r="B29" t="str">
            <v/>
          </cell>
          <cell r="C29"/>
          <cell r="D29"/>
          <cell r="E29"/>
          <cell r="F29"/>
          <cell r="G29"/>
          <cell r="H29"/>
          <cell r="I29"/>
          <cell r="J29"/>
          <cell r="K29"/>
          <cell r="L29"/>
          <cell r="M29" t="str">
            <v/>
          </cell>
          <cell r="N29"/>
          <cell r="O29"/>
        </row>
        <row r="30">
          <cell r="B30" t="str">
            <v/>
          </cell>
          <cell r="C30"/>
          <cell r="D30"/>
          <cell r="E30"/>
          <cell r="F30"/>
          <cell r="G30"/>
          <cell r="H30"/>
          <cell r="I30"/>
          <cell r="J30"/>
          <cell r="K30"/>
          <cell r="L30"/>
          <cell r="M30" t="str">
            <v/>
          </cell>
          <cell r="N30"/>
          <cell r="O30"/>
        </row>
        <row r="31">
          <cell r="B31" t="str">
            <v/>
          </cell>
          <cell r="C31"/>
          <cell r="D31"/>
          <cell r="E31"/>
          <cell r="F31"/>
          <cell r="G31"/>
          <cell r="H31"/>
          <cell r="I31"/>
          <cell r="J31"/>
          <cell r="K31"/>
          <cell r="L31"/>
          <cell r="M31" t="str">
            <v/>
          </cell>
          <cell r="N31"/>
          <cell r="O31"/>
        </row>
        <row r="32">
          <cell r="B32" t="str">
            <v/>
          </cell>
          <cell r="C32"/>
          <cell r="D32"/>
          <cell r="E32"/>
          <cell r="F32"/>
          <cell r="G32"/>
          <cell r="H32"/>
          <cell r="I32"/>
          <cell r="J32"/>
          <cell r="K32"/>
          <cell r="L32"/>
          <cell r="M32" t="str">
            <v/>
          </cell>
          <cell r="N32"/>
          <cell r="O32"/>
        </row>
        <row r="33">
          <cell r="B33" t="str">
            <v/>
          </cell>
          <cell r="C33"/>
          <cell r="D33"/>
          <cell r="E33"/>
          <cell r="F33"/>
          <cell r="G33"/>
          <cell r="H33"/>
          <cell r="I33"/>
          <cell r="J33"/>
          <cell r="K33"/>
          <cell r="L33"/>
          <cell r="M33" t="str">
            <v/>
          </cell>
          <cell r="N33"/>
          <cell r="O33"/>
        </row>
        <row r="34">
          <cell r="B34" t="str">
            <v/>
          </cell>
          <cell r="C34"/>
          <cell r="D34"/>
          <cell r="E34"/>
          <cell r="F34"/>
          <cell r="G34"/>
          <cell r="H34"/>
          <cell r="I34"/>
          <cell r="J34"/>
          <cell r="K34"/>
          <cell r="L34"/>
          <cell r="M34" t="str">
            <v/>
          </cell>
          <cell r="N34"/>
          <cell r="O34"/>
        </row>
        <row r="35">
          <cell r="B35" t="str">
            <v/>
          </cell>
          <cell r="C35"/>
          <cell r="D35"/>
          <cell r="E35"/>
          <cell r="F35"/>
          <cell r="G35"/>
          <cell r="H35"/>
          <cell r="I35"/>
          <cell r="J35"/>
          <cell r="K35"/>
          <cell r="L35"/>
          <cell r="M35" t="str">
            <v/>
          </cell>
          <cell r="N35"/>
          <cell r="O35"/>
        </row>
        <row r="36">
          <cell r="B36" t="str">
            <v/>
          </cell>
          <cell r="C36"/>
          <cell r="D36"/>
          <cell r="E36"/>
          <cell r="F36"/>
          <cell r="G36"/>
          <cell r="H36"/>
          <cell r="I36"/>
          <cell r="J36"/>
          <cell r="K36"/>
          <cell r="L36"/>
          <cell r="M36" t="str">
            <v/>
          </cell>
          <cell r="N36"/>
          <cell r="O36"/>
        </row>
        <row r="37">
          <cell r="B37" t="str">
            <v/>
          </cell>
          <cell r="C37"/>
          <cell r="D37"/>
          <cell r="E37"/>
          <cell r="F37"/>
          <cell r="G37"/>
          <cell r="H37"/>
          <cell r="I37"/>
          <cell r="J37"/>
          <cell r="K37"/>
          <cell r="L37"/>
          <cell r="M37" t="str">
            <v/>
          </cell>
          <cell r="N37"/>
          <cell r="O37"/>
        </row>
        <row r="38">
          <cell r="B38" t="str">
            <v/>
          </cell>
          <cell r="C38"/>
          <cell r="D38"/>
          <cell r="E38"/>
          <cell r="F38"/>
          <cell r="G38"/>
          <cell r="H38"/>
          <cell r="I38"/>
          <cell r="J38"/>
          <cell r="K38"/>
          <cell r="L38"/>
          <cell r="M38" t="str">
            <v/>
          </cell>
          <cell r="N38"/>
          <cell r="O38"/>
        </row>
        <row r="39">
          <cell r="B39" t="str">
            <v/>
          </cell>
          <cell r="C39"/>
          <cell r="D39"/>
          <cell r="E39"/>
          <cell r="F39"/>
          <cell r="G39"/>
          <cell r="H39"/>
          <cell r="I39"/>
          <cell r="J39"/>
          <cell r="K39"/>
          <cell r="L39"/>
          <cell r="M39" t="str">
            <v/>
          </cell>
          <cell r="N39"/>
          <cell r="O39"/>
        </row>
      </sheetData>
      <sheetData sheetId="2" refreshError="1">
        <row r="3">
          <cell r="B3" t="str">
            <v xml:space="preserve"> - </v>
          </cell>
          <cell r="C3"/>
          <cell r="D3"/>
          <cell r="E3"/>
          <cell r="F3"/>
          <cell r="G3"/>
          <cell r="H3" t="str">
            <v>%</v>
          </cell>
          <cell r="I3" t="str">
            <v>mg/kg</v>
          </cell>
          <cell r="J3" t="str">
            <v>%</v>
          </cell>
          <cell r="K3" t="str">
            <v>mg/kg</v>
          </cell>
          <cell r="L3"/>
          <cell r="M3"/>
          <cell r="N3"/>
          <cell r="O3"/>
        </row>
        <row r="4">
          <cell r="B4" t="str">
            <v>Rond Zand 0/2 (0/1) FF A f3 a CB SA Ecs20</v>
          </cell>
          <cell r="C4" t="str">
            <v>Rond Zand 0/2 (0/1) FF A f3 a CB SA Ecs20</v>
          </cell>
          <cell r="D4" t="str">
            <v>NHM</v>
          </cell>
          <cell r="E4" t="str">
            <v>Brugge</v>
          </cell>
          <cell r="F4">
            <v>2650</v>
          </cell>
          <cell r="G4">
            <v>0</v>
          </cell>
          <cell r="H4">
            <v>5.9999999999999995E-4</v>
          </cell>
          <cell r="I4">
            <v>0</v>
          </cell>
          <cell r="J4">
            <v>2.9999999999999997E-4</v>
          </cell>
          <cell r="K4">
            <v>0</v>
          </cell>
          <cell r="L4">
            <v>3.0000000000000001E-3</v>
          </cell>
          <cell r="M4">
            <v>1.3710000000000002E-2</v>
          </cell>
          <cell r="N4">
            <v>13.71</v>
          </cell>
          <cell r="O4">
            <v>0.13500000000000001</v>
          </cell>
        </row>
        <row r="5">
          <cell r="B5" t="str">
            <v>Rond zand 0/4(0/2,5) MF A f3 a CB SA</v>
          </cell>
          <cell r="C5" t="str">
            <v>Rond zand 0/4(0/2,5) MF A f3 a CB SA</v>
          </cell>
          <cell r="D5" t="str">
            <v>NHM</v>
          </cell>
          <cell r="E5" t="str">
            <v>Brugge</v>
          </cell>
          <cell r="F5">
            <v>2640</v>
          </cell>
          <cell r="G5">
            <v>0</v>
          </cell>
          <cell r="H5">
            <v>5.9999999999999995E-4</v>
          </cell>
          <cell r="I5">
            <v>0</v>
          </cell>
          <cell r="J5">
            <v>2.9999999999999997E-4</v>
          </cell>
          <cell r="K5">
            <v>0</v>
          </cell>
          <cell r="L5">
            <v>2E-3</v>
          </cell>
          <cell r="M5">
            <v>1.205E-2</v>
          </cell>
          <cell r="N5">
            <v>12.05</v>
          </cell>
          <cell r="O5">
            <v>5.5E-2</v>
          </cell>
        </row>
        <row r="6">
          <cell r="B6" t="str">
            <v>Rond Zand (0/4) CF A f3 a CB SA gewassen - speciaal</v>
          </cell>
          <cell r="C6" t="str">
            <v>Rond Zand (0/4) CF A f3 a CB SA gewassen - speciaal</v>
          </cell>
          <cell r="D6" t="str">
            <v>NHM</v>
          </cell>
          <cell r="E6" t="str">
            <v>Oostende</v>
          </cell>
          <cell r="F6">
            <v>2660</v>
          </cell>
          <cell r="G6">
            <v>0</v>
          </cell>
          <cell r="H6">
            <v>5.9999999999999995E-4</v>
          </cell>
          <cell r="I6">
            <v>0</v>
          </cell>
          <cell r="J6">
            <v>2.9999999999999997E-4</v>
          </cell>
          <cell r="K6">
            <v>0</v>
          </cell>
          <cell r="L6">
            <v>3.0000000000000001E-3</v>
          </cell>
          <cell r="M6">
            <v>1.9559999999999998E-2</v>
          </cell>
          <cell r="N6">
            <v>19.559999999999999</v>
          </cell>
          <cell r="O6">
            <v>0.04</v>
          </cell>
        </row>
        <row r="7">
          <cell r="B7" t="str">
            <v>grof gebroken kalksteengranulaat 2/6 Ca4a I f2 NG</v>
          </cell>
          <cell r="C7" t="str">
            <v>grof gebroken kalksteengranulaat 2/6 Ca4a I f2 NG</v>
          </cell>
          <cell r="D7" t="str">
            <v>Holcim</v>
          </cell>
          <cell r="E7" t="str">
            <v>Guarain-Ramecroix</v>
          </cell>
          <cell r="F7">
            <v>2670</v>
          </cell>
          <cell r="G7">
            <v>0</v>
          </cell>
          <cell r="H7">
            <v>1E-4</v>
          </cell>
          <cell r="I7">
            <v>0</v>
          </cell>
          <cell r="J7">
            <v>1E-4</v>
          </cell>
          <cell r="K7">
            <v>0</v>
          </cell>
          <cell r="L7">
            <v>5.0000000000000001E-3</v>
          </cell>
          <cell r="M7">
            <v>2.5649999999999999E-2</v>
          </cell>
          <cell r="N7">
            <v>25.65</v>
          </cell>
          <cell r="O7">
            <v>2.5000000000000001E-2</v>
          </cell>
        </row>
        <row r="8">
          <cell r="B8" t="str">
            <v>grof gebroken kalksteengranulaat 6/14 Ca4a II f1,5 NG</v>
          </cell>
          <cell r="C8" t="str">
            <v>grof gebroken kalksteengranulaat 6/14 Ca4a II f1,5 NG</v>
          </cell>
          <cell r="D8" t="str">
            <v>Holcim</v>
          </cell>
          <cell r="E8" t="str">
            <v>Guarain-Ramecroix</v>
          </cell>
          <cell r="F8">
            <v>2670</v>
          </cell>
          <cell r="G8">
            <v>0</v>
          </cell>
          <cell r="H8">
            <v>1E-4</v>
          </cell>
          <cell r="I8">
            <v>0</v>
          </cell>
          <cell r="J8">
            <v>1E-4</v>
          </cell>
          <cell r="K8">
            <v>0</v>
          </cell>
          <cell r="L8">
            <v>5.0000000000000001E-3</v>
          </cell>
          <cell r="M8">
            <v>2.5250000000000002E-2</v>
          </cell>
          <cell r="N8">
            <v>25.25</v>
          </cell>
          <cell r="O8">
            <v>0.02</v>
          </cell>
        </row>
        <row r="9">
          <cell r="B9" t="str">
            <v>grof gebroken kalksteengranulaat 6/20 Ca4a II f1,5 NG</v>
          </cell>
          <cell r="C9" t="str">
            <v>grof gebroken kalksteengranulaat 6/20 Ca4a II f1,5 NG</v>
          </cell>
          <cell r="D9" t="str">
            <v>Holcim</v>
          </cell>
          <cell r="E9" t="str">
            <v>Guarain-Ramecroix</v>
          </cell>
          <cell r="F9">
            <v>2670</v>
          </cell>
          <cell r="G9">
            <v>0</v>
          </cell>
          <cell r="H9">
            <v>1E-4</v>
          </cell>
          <cell r="I9">
            <v>0</v>
          </cell>
          <cell r="J9">
            <v>1E-4</v>
          </cell>
          <cell r="K9">
            <v>0</v>
          </cell>
          <cell r="L9">
            <v>5.0000000000000001E-3</v>
          </cell>
          <cell r="M9">
            <v>2.3850000000000003E-2</v>
          </cell>
          <cell r="N9">
            <v>23.85</v>
          </cell>
          <cell r="O9">
            <v>1.4999999999999999E-2</v>
          </cell>
        </row>
        <row r="10">
          <cell r="B10" t="str">
            <v>Lysit 2/8</v>
          </cell>
          <cell r="C10" t="str">
            <v>Lysit 2/8</v>
          </cell>
          <cell r="D10" t="str">
            <v>Ghent Aggregates</v>
          </cell>
          <cell r="E10" t="str">
            <v>Gent</v>
          </cell>
          <cell r="F10">
            <v>2670</v>
          </cell>
          <cell r="G10"/>
          <cell r="H10"/>
          <cell r="I10"/>
          <cell r="J10"/>
          <cell r="K10"/>
          <cell r="L10"/>
          <cell r="M10">
            <v>6.2E-2</v>
          </cell>
          <cell r="N10">
            <v>62</v>
          </cell>
          <cell r="O10">
            <v>0.02</v>
          </cell>
        </row>
        <row r="11">
          <cell r="B11" t="str">
            <v>Rijnzand 0/7/RZ 0/4 CF A f3a</v>
          </cell>
          <cell r="C11" t="str">
            <v>Rijnzand 0/7/RZ 0/4 CF A f3a</v>
          </cell>
          <cell r="D11" t="str">
            <v>NHM</v>
          </cell>
          <cell r="E11" t="str">
            <v>Izegem</v>
          </cell>
          <cell r="F11">
            <v>2640</v>
          </cell>
          <cell r="G11">
            <v>0</v>
          </cell>
          <cell r="H11">
            <v>1E-4</v>
          </cell>
          <cell r="I11">
            <v>0</v>
          </cell>
          <cell r="J11">
            <v>1E-4</v>
          </cell>
          <cell r="K11">
            <v>0</v>
          </cell>
          <cell r="L11">
            <v>1E-3</v>
          </cell>
          <cell r="M11">
            <v>2.1999999999999999E-2</v>
          </cell>
          <cell r="N11">
            <v>22</v>
          </cell>
          <cell r="O11">
            <v>0.04</v>
          </cell>
        </row>
        <row r="12">
          <cell r="B12" t="str">
            <v>Bavaria 8/11</v>
          </cell>
          <cell r="C12" t="str">
            <v>Bavaria 8/11</v>
          </cell>
          <cell r="D12" t="str">
            <v>Ghent Aggregates</v>
          </cell>
          <cell r="E12" t="str">
            <v>Gent</v>
          </cell>
          <cell r="F12">
            <v>2670</v>
          </cell>
          <cell r="G12">
            <v>0</v>
          </cell>
          <cell r="H12">
            <v>1E-4</v>
          </cell>
          <cell r="I12">
            <v>0</v>
          </cell>
          <cell r="J12">
            <v>2.9999999999999997E-4</v>
          </cell>
          <cell r="K12">
            <v>0</v>
          </cell>
          <cell r="L12">
            <v>5.4999999999999997E-3</v>
          </cell>
          <cell r="M12">
            <v>8.4000000000000005E-2</v>
          </cell>
          <cell r="N12">
            <v>84</v>
          </cell>
          <cell r="O12">
            <v>0.02</v>
          </cell>
        </row>
        <row r="13">
          <cell r="B13" t="str">
            <v>Bavaria 11/16</v>
          </cell>
          <cell r="C13" t="str">
            <v>Bavaria 11/16</v>
          </cell>
          <cell r="D13" t="str">
            <v>Ghent Aggregates</v>
          </cell>
          <cell r="E13" t="str">
            <v>Gent</v>
          </cell>
          <cell r="F13">
            <v>2670</v>
          </cell>
          <cell r="G13">
            <v>0</v>
          </cell>
          <cell r="H13">
            <v>1E-4</v>
          </cell>
          <cell r="I13">
            <v>0</v>
          </cell>
          <cell r="J13">
            <v>2.9999999999999997E-4</v>
          </cell>
          <cell r="K13">
            <v>0</v>
          </cell>
          <cell r="L13">
            <v>5.4999999999999997E-3</v>
          </cell>
          <cell r="M13">
            <v>8.4000000000000005E-2</v>
          </cell>
          <cell r="N13">
            <v>84</v>
          </cell>
          <cell r="O13">
            <v>0.02</v>
          </cell>
        </row>
        <row r="14">
          <cell r="B14" t="str">
            <v>Basalt 2/8</v>
          </cell>
          <cell r="C14" t="str">
            <v>Basalt 2/8</v>
          </cell>
          <cell r="D14" t="str">
            <v>Ghent Aggregates</v>
          </cell>
          <cell r="E14" t="str">
            <v>Gent</v>
          </cell>
          <cell r="F14">
            <v>3040</v>
          </cell>
          <cell r="G14">
            <v>0</v>
          </cell>
          <cell r="H14">
            <v>1E-4</v>
          </cell>
          <cell r="I14">
            <v>0</v>
          </cell>
          <cell r="J14">
            <v>2.9999999999999997E-4</v>
          </cell>
          <cell r="K14">
            <v>0</v>
          </cell>
          <cell r="L14">
            <v>5.4999999999999997E-3</v>
          </cell>
          <cell r="M14">
            <v>5.2999999999999999E-2</v>
          </cell>
          <cell r="N14">
            <v>53</v>
          </cell>
          <cell r="O14">
            <v>0.02</v>
          </cell>
        </row>
        <row r="15">
          <cell r="B15" t="str">
            <v>Basalt 5/8</v>
          </cell>
          <cell r="C15" t="str">
            <v>Basalt 5/8</v>
          </cell>
          <cell r="D15" t="str">
            <v>Ghent Aggregates</v>
          </cell>
          <cell r="E15" t="str">
            <v>Gent</v>
          </cell>
          <cell r="F15">
            <v>3040</v>
          </cell>
          <cell r="G15">
            <v>0</v>
          </cell>
          <cell r="H15">
            <v>2.0000000000000001E-4</v>
          </cell>
          <cell r="I15">
            <v>0</v>
          </cell>
          <cell r="J15">
            <v>2.9999999999999997E-4</v>
          </cell>
          <cell r="K15">
            <v>0</v>
          </cell>
          <cell r="L15">
            <v>5.0000000000000001E-3</v>
          </cell>
          <cell r="M15">
            <v>5.2999999999999999E-2</v>
          </cell>
          <cell r="N15">
            <v>53</v>
          </cell>
          <cell r="O15">
            <v>0.02</v>
          </cell>
        </row>
        <row r="16">
          <cell r="B16" t="str">
            <v>grof gebroken porfiergranulaat 4/6,3 Aa2 I f1 NG</v>
          </cell>
          <cell r="C16" t="str">
            <v>grof gebroken porfiergranulaat 4/6,3 Aa2 I f1 NG</v>
          </cell>
          <cell r="D16" t="str">
            <v>Holcim</v>
          </cell>
          <cell r="E16" t="str">
            <v>Ermitage</v>
          </cell>
          <cell r="F16">
            <v>2710</v>
          </cell>
          <cell r="G16">
            <v>0</v>
          </cell>
          <cell r="H16">
            <v>1E-4</v>
          </cell>
          <cell r="I16">
            <v>0</v>
          </cell>
          <cell r="J16">
            <v>1E-4</v>
          </cell>
          <cell r="K16">
            <v>0</v>
          </cell>
          <cell r="L16">
            <v>5.0000000000000001E-3</v>
          </cell>
          <cell r="M16">
            <v>2.9149999999999999E-2</v>
          </cell>
          <cell r="N16">
            <v>29.15</v>
          </cell>
          <cell r="O16">
            <v>2.5000000000000001E-2</v>
          </cell>
        </row>
        <row r="17">
          <cell r="B17" t="str">
            <v>grof gebroken porfiergranulaat 2/20 Aa2 II f1,5 NG</v>
          </cell>
          <cell r="C17" t="str">
            <v>grof gebroken porfiergranulaat 2/20 Aa2 II f1,5 NG</v>
          </cell>
          <cell r="D17" t="str">
            <v>Sagrex nv.</v>
          </cell>
          <cell r="E17" t="str">
            <v>Quenast</v>
          </cell>
          <cell r="F17">
            <v>2690</v>
          </cell>
          <cell r="G17">
            <v>0</v>
          </cell>
          <cell r="H17">
            <v>1E-4</v>
          </cell>
          <cell r="I17">
            <v>0</v>
          </cell>
          <cell r="J17">
            <v>1E-4</v>
          </cell>
          <cell r="K17">
            <v>0</v>
          </cell>
          <cell r="L17">
            <v>5.0000000000000001E-3</v>
          </cell>
          <cell r="M17">
            <v>2.9700000000000001E-2</v>
          </cell>
          <cell r="N17">
            <v>29.7</v>
          </cell>
          <cell r="O17">
            <v>1.4999999999999999E-2</v>
          </cell>
        </row>
        <row r="18">
          <cell r="B18" t="str">
            <v>Gebroken Porfiergranulaat 10/20 R</v>
          </cell>
          <cell r="C18" t="str">
            <v>Gebroken Porfiergranulaat 10/20 R</v>
          </cell>
          <cell r="D18" t="str">
            <v>Ghent Aggregates</v>
          </cell>
          <cell r="E18" t="str">
            <v>Gent</v>
          </cell>
          <cell r="F18">
            <v>2700</v>
          </cell>
          <cell r="G18">
            <v>0</v>
          </cell>
          <cell r="H18">
            <v>2.0000000000000002E-5</v>
          </cell>
          <cell r="I18">
            <v>0</v>
          </cell>
          <cell r="J18">
            <v>1E-4</v>
          </cell>
          <cell r="K18">
            <v>0</v>
          </cell>
          <cell r="L18">
            <v>4.0000000000000001E-3</v>
          </cell>
          <cell r="M18">
            <v>2.8399999999999998E-2</v>
          </cell>
          <cell r="N18">
            <v>28.4</v>
          </cell>
          <cell r="O18">
            <v>1.4999999999999999E-2</v>
          </cell>
        </row>
        <row r="19">
          <cell r="B19" t="str">
            <v>Gebroken Porfiergranulaat 6,3/14 Aa2 I f1 NG</v>
          </cell>
          <cell r="C19" t="str">
            <v>Gebroken Porfiergranulaat 6,3/14 Aa2 I f1 NG</v>
          </cell>
          <cell r="D19" t="str">
            <v>Sagrex nv.</v>
          </cell>
          <cell r="E19" t="str">
            <v>Quenast</v>
          </cell>
          <cell r="F19">
            <v>2690</v>
          </cell>
          <cell r="G19">
            <v>0</v>
          </cell>
          <cell r="H19">
            <v>1E-4</v>
          </cell>
          <cell r="I19">
            <v>0</v>
          </cell>
          <cell r="J19">
            <v>1E-4</v>
          </cell>
          <cell r="K19">
            <v>0</v>
          </cell>
          <cell r="L19">
            <v>5.0000000000000001E-3</v>
          </cell>
          <cell r="M19">
            <v>3.0699999999999998E-2</v>
          </cell>
          <cell r="N19">
            <v>30.7</v>
          </cell>
          <cell r="O19">
            <v>0.02</v>
          </cell>
        </row>
        <row r="20">
          <cell r="B20" t="str">
            <v>Glanskies</v>
          </cell>
          <cell r="C20" t="str">
            <v>Glanskies</v>
          </cell>
          <cell r="D20" t="str">
            <v>Ghent Aggregates</v>
          </cell>
          <cell r="E20" t="str">
            <v>Gent</v>
          </cell>
          <cell r="F20">
            <v>2670</v>
          </cell>
          <cell r="G20"/>
          <cell r="H20"/>
          <cell r="I20"/>
          <cell r="J20"/>
          <cell r="K20"/>
          <cell r="L20"/>
          <cell r="M20">
            <v>5.2999999999999999E-2</v>
          </cell>
          <cell r="N20">
            <v>53</v>
          </cell>
          <cell r="O20"/>
        </row>
        <row r="21">
          <cell r="B21" t="str">
            <v>Halfgerold grind 4/16 Cb+ I f0,5 NG gewassen</v>
          </cell>
          <cell r="C21" t="str">
            <v>Halfgerold grind 4/16 Cb+ I f0,5 NG gewassen</v>
          </cell>
          <cell r="D21" t="str">
            <v>Sagrex nv.</v>
          </cell>
          <cell r="E21"/>
          <cell r="F21">
            <v>2590</v>
          </cell>
          <cell r="G21">
            <v>0</v>
          </cell>
          <cell r="H21">
            <v>5.9999999999999995E-4</v>
          </cell>
          <cell r="I21">
            <v>0</v>
          </cell>
          <cell r="J21">
            <v>2.9999999999999997E-4</v>
          </cell>
          <cell r="K21">
            <v>0</v>
          </cell>
          <cell r="L21">
            <v>2.1999999999999999E-2</v>
          </cell>
          <cell r="M21">
            <v>2.3449999999999999E-2</v>
          </cell>
          <cell r="N21">
            <v>23.45</v>
          </cell>
          <cell r="O21">
            <v>1.4999999999999999E-2</v>
          </cell>
        </row>
        <row r="22">
          <cell r="B22" t="str">
            <v>Basalt 8/16</v>
          </cell>
          <cell r="C22" t="str">
            <v>Basalt 8/16</v>
          </cell>
          <cell r="D22" t="str">
            <v>Ghent Aggregates</v>
          </cell>
          <cell r="E22" t="str">
            <v>Gent</v>
          </cell>
          <cell r="F22">
            <v>2980</v>
          </cell>
          <cell r="G22">
            <v>0</v>
          </cell>
          <cell r="H22">
            <v>1E-4</v>
          </cell>
          <cell r="I22">
            <v>0</v>
          </cell>
          <cell r="J22">
            <v>2.9999999999999997E-4</v>
          </cell>
          <cell r="K22">
            <v>0</v>
          </cell>
          <cell r="L22">
            <v>4.0000000000000001E-3</v>
          </cell>
          <cell r="M22">
            <v>4.9500000000000002E-2</v>
          </cell>
          <cell r="N22">
            <v>49.5</v>
          </cell>
          <cell r="O22">
            <v>0.02</v>
          </cell>
        </row>
        <row r="23">
          <cell r="B23" t="str">
            <v>betongranulaat 4/20 mm</v>
          </cell>
          <cell r="C23" t="str">
            <v>betongranulaat 4/20 mm</v>
          </cell>
          <cell r="D23"/>
          <cell r="E23"/>
          <cell r="F23">
            <v>2500</v>
          </cell>
          <cell r="G23">
            <v>0</v>
          </cell>
          <cell r="H23">
            <v>5.9999999999999995E-4</v>
          </cell>
          <cell r="I23">
            <v>0</v>
          </cell>
          <cell r="J23">
            <v>2.9999999999999997E-4</v>
          </cell>
          <cell r="K23">
            <v>0</v>
          </cell>
          <cell r="L23">
            <v>0.04</v>
          </cell>
          <cell r="M23">
            <v>4.0000000000000001E-3</v>
          </cell>
          <cell r="N23">
            <v>4</v>
          </cell>
          <cell r="O23">
            <v>0.05</v>
          </cell>
        </row>
        <row r="24">
          <cell r="B24" t="str">
            <v>Haute Marne 8/20 R</v>
          </cell>
          <cell r="C24" t="str">
            <v>Haute Marne 8/20 R</v>
          </cell>
          <cell r="D24" t="str">
            <v>Ghent Aggregates</v>
          </cell>
          <cell r="E24" t="str">
            <v>Gent</v>
          </cell>
          <cell r="F24">
            <v>2640</v>
          </cell>
          <cell r="G24">
            <v>0</v>
          </cell>
          <cell r="H24">
            <v>1E-4</v>
          </cell>
          <cell r="I24">
            <v>0</v>
          </cell>
          <cell r="J24">
            <v>1E-4</v>
          </cell>
          <cell r="K24">
            <v>0</v>
          </cell>
          <cell r="L24">
            <v>1E-3</v>
          </cell>
          <cell r="M24">
            <v>4.2000000000000003E-2</v>
          </cell>
          <cell r="N24">
            <v>42</v>
          </cell>
          <cell r="O24">
            <v>0.02</v>
          </cell>
        </row>
        <row r="25">
          <cell r="B25" t="str">
            <v>Haute Marne 4/8 R</v>
          </cell>
          <cell r="C25" t="str">
            <v>Haute Marne 4/8 R</v>
          </cell>
          <cell r="D25" t="str">
            <v>Ghent Aggregates</v>
          </cell>
          <cell r="E25" t="str">
            <v>Gent</v>
          </cell>
          <cell r="F25">
            <v>2640</v>
          </cell>
          <cell r="G25">
            <v>0</v>
          </cell>
          <cell r="H25">
            <v>1E-4</v>
          </cell>
          <cell r="I25">
            <v>0</v>
          </cell>
          <cell r="J25">
            <v>1E-4</v>
          </cell>
          <cell r="K25">
            <v>0</v>
          </cell>
          <cell r="L25">
            <v>1E-3</v>
          </cell>
          <cell r="M25">
            <v>4.2000000000000003E-2</v>
          </cell>
          <cell r="N25">
            <v>42</v>
          </cell>
          <cell r="O25">
            <v>0.02</v>
          </cell>
        </row>
        <row r="26">
          <cell r="B26" t="str">
            <v>uitwas blankenberge B6-B10 66% grind/33% porfier rood</v>
          </cell>
          <cell r="C26" t="str">
            <v>uitwas blankenberge B6-B10 66% grind/33% porfier rood</v>
          </cell>
          <cell r="D26" t="str">
            <v>Ghent Aggregates</v>
          </cell>
          <cell r="E26" t="str">
            <v>Gent</v>
          </cell>
          <cell r="F26">
            <v>2700</v>
          </cell>
          <cell r="G26">
            <v>0</v>
          </cell>
          <cell r="H26">
            <v>2.0000000000000002E-5</v>
          </cell>
          <cell r="I26">
            <v>0</v>
          </cell>
          <cell r="J26">
            <v>1E-4</v>
          </cell>
          <cell r="K26">
            <v>0</v>
          </cell>
          <cell r="L26">
            <v>4.0000000000000001E-3</v>
          </cell>
          <cell r="M26">
            <v>5.586E-2</v>
          </cell>
          <cell r="N26">
            <v>55.86</v>
          </cell>
          <cell r="O26">
            <v>1.4999999999999999E-2</v>
          </cell>
        </row>
        <row r="27">
          <cell r="B27" t="str">
            <v>uitwas Knokke</v>
          </cell>
          <cell r="C27" t="str">
            <v>uitwas Knokke</v>
          </cell>
          <cell r="D27" t="str">
            <v>Ghent Aggregates</v>
          </cell>
          <cell r="E27" t="str">
            <v>Gent</v>
          </cell>
          <cell r="F27">
            <v>2700</v>
          </cell>
          <cell r="G27">
            <v>0</v>
          </cell>
          <cell r="H27">
            <v>2.0000000000000002E-5</v>
          </cell>
          <cell r="I27">
            <v>0</v>
          </cell>
          <cell r="J27">
            <v>1E-4</v>
          </cell>
          <cell r="K27">
            <v>0</v>
          </cell>
          <cell r="L27">
            <v>4.0000000000000001E-3</v>
          </cell>
          <cell r="M27">
            <v>4.505E-2</v>
          </cell>
          <cell r="N27">
            <v>45.05</v>
          </cell>
          <cell r="O27">
            <v>1.4999999999999999E-2</v>
          </cell>
        </row>
        <row r="28">
          <cell r="B28" t="str">
            <v>Mix BF Blankenberge</v>
          </cell>
          <cell r="C28" t="str">
            <v>Mix BF Blankenberge</v>
          </cell>
          <cell r="D28" t="str">
            <v>Ghent Aggregates</v>
          </cell>
          <cell r="E28" t="str">
            <v>Gent</v>
          </cell>
          <cell r="F28">
            <v>2700</v>
          </cell>
          <cell r="G28">
            <v>0</v>
          </cell>
          <cell r="H28">
            <v>2.0000000000000002E-5</v>
          </cell>
          <cell r="I28">
            <v>0</v>
          </cell>
          <cell r="J28">
            <v>1E-4</v>
          </cell>
          <cell r="K28">
            <v>0</v>
          </cell>
          <cell r="L28">
            <v>4.0000000000000001E-3</v>
          </cell>
          <cell r="M28">
            <v>5.0049999999999997E-2</v>
          </cell>
          <cell r="N28">
            <v>50.05</v>
          </cell>
          <cell r="O28">
            <v>1.4999999999999999E-2</v>
          </cell>
        </row>
        <row r="29">
          <cell r="B29" t="str">
            <v/>
          </cell>
          <cell r="C29"/>
          <cell r="D29"/>
          <cell r="E29"/>
          <cell r="F29"/>
          <cell r="G29"/>
          <cell r="H29"/>
          <cell r="I29"/>
          <cell r="J29"/>
          <cell r="K29"/>
          <cell r="L29"/>
          <cell r="M29" t="str">
            <v/>
          </cell>
          <cell r="N29"/>
          <cell r="O29"/>
        </row>
        <row r="30">
          <cell r="B30" t="str">
            <v>Brekerzand</v>
          </cell>
          <cell r="C30" t="str">
            <v>Brekerzand</v>
          </cell>
          <cell r="D30" t="str">
            <v>De Witte nv.</v>
          </cell>
          <cell r="E30" t="str">
            <v>Aalter</v>
          </cell>
          <cell r="F30">
            <v>2650</v>
          </cell>
          <cell r="G30">
            <v>0</v>
          </cell>
          <cell r="H30">
            <v>5.9999999999999995E-4</v>
          </cell>
          <cell r="I30">
            <v>0</v>
          </cell>
          <cell r="J30">
            <v>2.9999999999999997E-4</v>
          </cell>
          <cell r="K30">
            <v>0</v>
          </cell>
          <cell r="L30">
            <v>3.0000000000000001E-3</v>
          </cell>
          <cell r="M30">
            <v>5.0000000000000001E-3</v>
          </cell>
          <cell r="N30">
            <v>5</v>
          </cell>
          <cell r="O30">
            <v>0.13500000000000001</v>
          </cell>
        </row>
        <row r="31">
          <cell r="B31" t="str">
            <v>betongranulaat 0/20</v>
          </cell>
          <cell r="C31" t="str">
            <v>betongranulaat 0/20</v>
          </cell>
          <cell r="D31" t="str">
            <v>De Witte nv.</v>
          </cell>
          <cell r="E31" t="str">
            <v>Aalter</v>
          </cell>
          <cell r="F31">
            <v>2560</v>
          </cell>
          <cell r="G31">
            <v>0</v>
          </cell>
          <cell r="H31">
            <v>2.9999999999999997E-4</v>
          </cell>
          <cell r="I31">
            <v>0</v>
          </cell>
          <cell r="J31">
            <v>2.9999999999999997E-4</v>
          </cell>
          <cell r="K31">
            <v>0</v>
          </cell>
          <cell r="L31">
            <v>3.5999999999999997E-2</v>
          </cell>
          <cell r="M31">
            <v>1.0500000000000001E-2</v>
          </cell>
          <cell r="N31">
            <v>10.5</v>
          </cell>
          <cell r="O31">
            <v>0.13500000000000001</v>
          </cell>
        </row>
        <row r="32">
          <cell r="B32" t="str">
            <v>Asfalt 0/40</v>
          </cell>
          <cell r="C32"/>
          <cell r="D32"/>
          <cell r="E32"/>
          <cell r="F32">
            <v>2550</v>
          </cell>
          <cell r="G32"/>
          <cell r="H32"/>
          <cell r="I32"/>
          <cell r="J32"/>
          <cell r="K32"/>
          <cell r="L32"/>
          <cell r="M32">
            <v>5.0000000000000001E-3</v>
          </cell>
          <cell r="N32">
            <v>5</v>
          </cell>
          <cell r="O32"/>
        </row>
        <row r="33">
          <cell r="B33" t="str">
            <v>Asfalt 0/20</v>
          </cell>
          <cell r="C33"/>
          <cell r="D33"/>
          <cell r="E33"/>
          <cell r="F33">
            <v>2550</v>
          </cell>
          <cell r="G33"/>
          <cell r="H33"/>
          <cell r="I33"/>
          <cell r="J33"/>
          <cell r="K33"/>
          <cell r="L33"/>
          <cell r="M33">
            <v>5.0000000000000001E-3</v>
          </cell>
          <cell r="N33">
            <v>5</v>
          </cell>
          <cell r="O33"/>
        </row>
        <row r="34">
          <cell r="B34" t="str">
            <v>menggranulaat 0/40</v>
          </cell>
          <cell r="C34"/>
          <cell r="D34"/>
          <cell r="E34"/>
          <cell r="F34">
            <v>2500</v>
          </cell>
          <cell r="G34"/>
          <cell r="H34"/>
          <cell r="I34"/>
          <cell r="J34"/>
          <cell r="K34"/>
          <cell r="L34"/>
          <cell r="M34">
            <v>5.0000000000000001E-3</v>
          </cell>
          <cell r="N34">
            <v>5</v>
          </cell>
          <cell r="O34"/>
        </row>
        <row r="35">
          <cell r="B35" t="str">
            <v>betongranulaat 0/40</v>
          </cell>
          <cell r="C35"/>
          <cell r="D35"/>
          <cell r="E35"/>
          <cell r="F35">
            <v>2660</v>
          </cell>
          <cell r="G35"/>
          <cell r="H35"/>
          <cell r="I35"/>
          <cell r="J35"/>
          <cell r="K35"/>
          <cell r="L35"/>
          <cell r="M35">
            <v>1.0500000000000001E-2</v>
          </cell>
          <cell r="N35">
            <v>10.5</v>
          </cell>
          <cell r="O35"/>
        </row>
        <row r="36">
          <cell r="B36" t="str">
            <v/>
          </cell>
          <cell r="C36"/>
          <cell r="D36"/>
          <cell r="E36"/>
          <cell r="F36"/>
          <cell r="G36"/>
          <cell r="H36"/>
          <cell r="I36"/>
          <cell r="J36"/>
          <cell r="K36"/>
          <cell r="L36"/>
          <cell r="M36" t="str">
            <v/>
          </cell>
          <cell r="N36"/>
          <cell r="O36"/>
        </row>
        <row r="37">
          <cell r="B37" t="str">
            <v/>
          </cell>
          <cell r="C37"/>
          <cell r="D37"/>
          <cell r="E37"/>
          <cell r="F37"/>
          <cell r="G37"/>
          <cell r="H37"/>
          <cell r="I37"/>
          <cell r="J37"/>
          <cell r="K37"/>
          <cell r="L37"/>
          <cell r="M37" t="str">
            <v/>
          </cell>
          <cell r="N37"/>
          <cell r="O37"/>
        </row>
        <row r="38">
          <cell r="B38" t="str">
            <v/>
          </cell>
          <cell r="C38"/>
          <cell r="D38"/>
          <cell r="E38"/>
          <cell r="F38"/>
          <cell r="G38"/>
          <cell r="H38"/>
          <cell r="I38"/>
          <cell r="J38"/>
          <cell r="K38"/>
          <cell r="L38"/>
          <cell r="M38" t="str">
            <v/>
          </cell>
          <cell r="N38"/>
          <cell r="O38"/>
        </row>
        <row r="39">
          <cell r="B39" t="str">
            <v/>
          </cell>
          <cell r="C39"/>
          <cell r="D39"/>
          <cell r="E39"/>
          <cell r="F39"/>
          <cell r="G39"/>
          <cell r="H39"/>
          <cell r="I39"/>
          <cell r="J39"/>
          <cell r="K39"/>
          <cell r="L39"/>
          <cell r="M39" t="str">
            <v/>
          </cell>
          <cell r="N39"/>
          <cell r="O39"/>
        </row>
        <row r="40">
          <cell r="B40" t="str">
            <v/>
          </cell>
          <cell r="C40"/>
          <cell r="D40"/>
          <cell r="E40"/>
          <cell r="F40"/>
          <cell r="G40"/>
          <cell r="H40"/>
          <cell r="I40"/>
          <cell r="J40"/>
          <cell r="K40"/>
          <cell r="L40"/>
          <cell r="M40" t="str">
            <v/>
          </cell>
          <cell r="N40"/>
          <cell r="O40"/>
        </row>
        <row r="41">
          <cell r="B41" t="str">
            <v/>
          </cell>
          <cell r="C41"/>
          <cell r="D41"/>
          <cell r="E41"/>
          <cell r="F41"/>
          <cell r="G41"/>
          <cell r="H41"/>
          <cell r="I41"/>
          <cell r="J41"/>
          <cell r="K41"/>
          <cell r="L41"/>
          <cell r="M41" t="str">
            <v/>
          </cell>
          <cell r="N41"/>
          <cell r="O41"/>
        </row>
        <row r="42">
          <cell r="B42" t="str">
            <v/>
          </cell>
          <cell r="C42"/>
          <cell r="D42"/>
          <cell r="E42"/>
          <cell r="F42"/>
          <cell r="G42"/>
          <cell r="H42"/>
          <cell r="I42"/>
          <cell r="J42"/>
          <cell r="K42"/>
          <cell r="L42"/>
          <cell r="M42" t="str">
            <v/>
          </cell>
          <cell r="N42"/>
          <cell r="O42"/>
        </row>
        <row r="43">
          <cell r="B43" t="str">
            <v/>
          </cell>
          <cell r="C43"/>
          <cell r="D43"/>
          <cell r="E43"/>
          <cell r="F43"/>
          <cell r="G43"/>
          <cell r="H43"/>
          <cell r="I43"/>
          <cell r="J43"/>
          <cell r="K43"/>
          <cell r="L43"/>
          <cell r="M43" t="str">
            <v/>
          </cell>
          <cell r="N43"/>
          <cell r="O43"/>
        </row>
        <row r="44">
          <cell r="B44" t="str">
            <v/>
          </cell>
          <cell r="C44"/>
          <cell r="D44"/>
          <cell r="E44"/>
          <cell r="F44"/>
          <cell r="G44"/>
          <cell r="H44"/>
          <cell r="I44"/>
          <cell r="J44"/>
          <cell r="K44"/>
          <cell r="L44"/>
          <cell r="M44" t="str">
            <v/>
          </cell>
          <cell r="N44"/>
          <cell r="O44"/>
        </row>
        <row r="45">
          <cell r="B45" t="str">
            <v/>
          </cell>
          <cell r="C45"/>
          <cell r="D45"/>
          <cell r="E45"/>
          <cell r="F45"/>
          <cell r="G45"/>
          <cell r="H45"/>
          <cell r="I45"/>
          <cell r="J45"/>
          <cell r="K45"/>
          <cell r="L45"/>
          <cell r="M45" t="str">
            <v/>
          </cell>
          <cell r="N45"/>
          <cell r="O45"/>
        </row>
        <row r="46">
          <cell r="B46" t="str">
            <v/>
          </cell>
          <cell r="C46"/>
          <cell r="D46"/>
          <cell r="E46"/>
          <cell r="F46"/>
        </row>
        <row r="47">
          <cell r="B47" t="str">
            <v/>
          </cell>
          <cell r="C47"/>
          <cell r="D47"/>
          <cell r="E47"/>
          <cell r="F47"/>
        </row>
        <row r="48">
          <cell r="B48" t="str">
            <v/>
          </cell>
          <cell r="C48"/>
          <cell r="D48"/>
          <cell r="E48"/>
          <cell r="F48"/>
        </row>
        <row r="49">
          <cell r="B49" t="str">
            <v/>
          </cell>
          <cell r="C49"/>
          <cell r="D49"/>
          <cell r="E49"/>
          <cell r="F49"/>
        </row>
        <row r="50">
          <cell r="B50" t="str">
            <v/>
          </cell>
          <cell r="C50"/>
          <cell r="D50"/>
          <cell r="E50"/>
          <cell r="F50"/>
        </row>
      </sheetData>
      <sheetData sheetId="3" refreshError="1">
        <row r="4">
          <cell r="B4"/>
          <cell r="C4"/>
          <cell r="D4"/>
          <cell r="E4"/>
          <cell r="F4"/>
          <cell r="G4"/>
          <cell r="H4"/>
          <cell r="I4"/>
          <cell r="J4"/>
          <cell r="K4"/>
          <cell r="L4"/>
          <cell r="M4" t="str">
            <v/>
          </cell>
          <cell r="N4"/>
        </row>
        <row r="5">
          <cell r="B5" t="str">
            <v>MasterGlenium 300 con 20%</v>
          </cell>
          <cell r="C5" t="str">
            <v>MasterGlenium 300 con 20%</v>
          </cell>
          <cell r="D5" t="str">
            <v>BASF bv.</v>
          </cell>
          <cell r="E5"/>
          <cell r="F5">
            <v>1045</v>
          </cell>
          <cell r="G5">
            <v>0.2</v>
          </cell>
          <cell r="H5">
            <v>1E-3</v>
          </cell>
          <cell r="I5">
            <v>0</v>
          </cell>
          <cell r="J5">
            <v>0.01</v>
          </cell>
          <cell r="K5">
            <v>0</v>
          </cell>
          <cell r="L5"/>
          <cell r="M5">
            <v>1.01</v>
          </cell>
          <cell r="N5">
            <v>1010</v>
          </cell>
          <cell r="O5">
            <v>0.7</v>
          </cell>
        </row>
        <row r="6">
          <cell r="B6" t="str">
            <v>MasterAir 104 con 4% LBV</v>
          </cell>
          <cell r="C6" t="str">
            <v>MasterAir 104 con 4% LBV</v>
          </cell>
          <cell r="D6" t="str">
            <v>BASF bv.</v>
          </cell>
          <cell r="E6"/>
          <cell r="F6">
            <v>1000</v>
          </cell>
          <cell r="G6">
            <v>0.04</v>
          </cell>
          <cell r="H6">
            <v>1E-3</v>
          </cell>
          <cell r="I6">
            <v>0</v>
          </cell>
          <cell r="J6">
            <v>0.01</v>
          </cell>
          <cell r="K6">
            <v>0</v>
          </cell>
          <cell r="L6"/>
          <cell r="M6">
            <v>1.22</v>
          </cell>
          <cell r="N6">
            <v>1220</v>
          </cell>
          <cell r="O6"/>
        </row>
        <row r="7">
          <cell r="B7" t="str">
            <v>MasterSet R 130 con 20%</v>
          </cell>
          <cell r="C7" t="str">
            <v>MasterSet R 130 con 20%</v>
          </cell>
          <cell r="D7" t="str">
            <v>BASF bv.</v>
          </cell>
          <cell r="E7"/>
          <cell r="F7">
            <v>1100</v>
          </cell>
          <cell r="G7">
            <v>0.2</v>
          </cell>
          <cell r="H7">
            <v>1E-3</v>
          </cell>
          <cell r="I7">
            <v>0</v>
          </cell>
          <cell r="J7">
            <v>0.03</v>
          </cell>
          <cell r="K7">
            <v>0</v>
          </cell>
          <cell r="L7"/>
          <cell r="M7">
            <v>1.1399999999999999</v>
          </cell>
          <cell r="N7">
            <v>1140</v>
          </cell>
          <cell r="O7"/>
        </row>
        <row r="8">
          <cell r="B8" t="str">
            <v>MasterPozzolith 390N con. 40%</v>
          </cell>
          <cell r="C8" t="str">
            <v>MasterPozzolith 390N con. 40%</v>
          </cell>
          <cell r="D8" t="str">
            <v>BASF bv.</v>
          </cell>
          <cell r="E8"/>
          <cell r="F8">
            <v>1220</v>
          </cell>
          <cell r="G8">
            <v>0.4</v>
          </cell>
          <cell r="H8">
            <v>1E-3</v>
          </cell>
          <cell r="I8">
            <v>0</v>
          </cell>
          <cell r="J8">
            <v>8.5000000000000006E-2</v>
          </cell>
          <cell r="K8">
            <v>0</v>
          </cell>
          <cell r="L8"/>
          <cell r="M8">
            <v>0.56999999999999995</v>
          </cell>
          <cell r="N8">
            <v>570</v>
          </cell>
          <cell r="O8"/>
        </row>
        <row r="9">
          <cell r="B9" t="str">
            <v>MasterSet AC555</v>
          </cell>
          <cell r="C9" t="str">
            <v>MasterSet AC555</v>
          </cell>
          <cell r="D9" t="str">
            <v>BASF bv.</v>
          </cell>
          <cell r="E9"/>
          <cell r="F9">
            <v>1450</v>
          </cell>
          <cell r="G9">
            <v>0.52800000000000002</v>
          </cell>
          <cell r="H9">
            <v>1E-3</v>
          </cell>
          <cell r="I9">
            <v>0</v>
          </cell>
          <cell r="J9">
            <v>0.02</v>
          </cell>
          <cell r="K9">
            <v>0</v>
          </cell>
          <cell r="L9"/>
          <cell r="M9">
            <v>1.8</v>
          </cell>
          <cell r="N9">
            <v>1800</v>
          </cell>
        </row>
        <row r="10">
          <cell r="B10" t="str">
            <v>OFT III 84/39 Con. 40%</v>
          </cell>
          <cell r="C10" t="str">
            <v>OFT III 84/39 Con. 40%</v>
          </cell>
          <cell r="D10" t="str">
            <v>Tillman bv.</v>
          </cell>
          <cell r="E10"/>
          <cell r="F10">
            <v>1190</v>
          </cell>
          <cell r="G10">
            <v>0.4</v>
          </cell>
          <cell r="H10">
            <v>1E-3</v>
          </cell>
          <cell r="I10">
            <v>0</v>
          </cell>
          <cell r="J10">
            <v>8.5000000000000006E-2</v>
          </cell>
          <cell r="K10">
            <v>0</v>
          </cell>
          <cell r="L10"/>
          <cell r="M10">
            <v>0.85</v>
          </cell>
          <cell r="N10">
            <v>850</v>
          </cell>
        </row>
        <row r="11">
          <cell r="B11" t="str">
            <v>Mengolie TM AEA-B</v>
          </cell>
          <cell r="C11" t="str">
            <v>Mengolie TM AEA-B</v>
          </cell>
          <cell r="D11" t="str">
            <v>Tillman bv.</v>
          </cell>
          <cell r="E11"/>
          <cell r="F11">
            <v>1010</v>
          </cell>
          <cell r="G11">
            <v>0.05</v>
          </cell>
          <cell r="H11">
            <v>1E-3</v>
          </cell>
          <cell r="I11">
            <v>0</v>
          </cell>
          <cell r="J11">
            <v>0.01</v>
          </cell>
          <cell r="K11">
            <v>0</v>
          </cell>
          <cell r="L11"/>
          <cell r="M11">
            <v>0.95</v>
          </cell>
          <cell r="N11">
            <v>950</v>
          </cell>
        </row>
        <row r="12">
          <cell r="B12" t="str">
            <v>Polyflow S100 con. 20%</v>
          </cell>
          <cell r="C12" t="str">
            <v>Polyflow S100 con. 20%</v>
          </cell>
          <cell r="D12" t="str">
            <v>Tillman bv.</v>
          </cell>
          <cell r="E12"/>
          <cell r="F12">
            <v>1040</v>
          </cell>
          <cell r="G12">
            <v>0.2</v>
          </cell>
          <cell r="H12">
            <v>1E-3</v>
          </cell>
          <cell r="I12">
            <v>0</v>
          </cell>
          <cell r="J12">
            <v>0.02</v>
          </cell>
          <cell r="K12">
            <v>0</v>
          </cell>
          <cell r="L12"/>
          <cell r="M12">
            <v>1.24</v>
          </cell>
          <cell r="N12">
            <v>1240</v>
          </cell>
          <cell r="O12">
            <v>0.6</v>
          </cell>
        </row>
        <row r="13">
          <cell r="B13" t="str">
            <v>Demula Fluvicon 95 con. 20%</v>
          </cell>
          <cell r="C13" t="str">
            <v>Demula Fluvicon 95 con. 20%</v>
          </cell>
          <cell r="D13" t="str">
            <v>Demula bv.</v>
          </cell>
          <cell r="E13"/>
          <cell r="F13">
            <v>1040</v>
          </cell>
          <cell r="G13">
            <v>0.2</v>
          </cell>
          <cell r="H13">
            <v>1E-3</v>
          </cell>
          <cell r="I13">
            <v>0</v>
          </cell>
          <cell r="J13">
            <v>0.03</v>
          </cell>
          <cell r="K13">
            <v>0</v>
          </cell>
          <cell r="L13"/>
          <cell r="M13">
            <v>1.28</v>
          </cell>
          <cell r="N13">
            <v>1280</v>
          </cell>
          <cell r="O13">
            <v>0.6</v>
          </cell>
        </row>
        <row r="14">
          <cell r="B14" t="str">
            <v>Demula Plast</v>
          </cell>
          <cell r="C14" t="str">
            <v>Demula Plast</v>
          </cell>
          <cell r="D14" t="str">
            <v>Demula bv.</v>
          </cell>
          <cell r="E14"/>
          <cell r="F14">
            <v>1170</v>
          </cell>
          <cell r="G14">
            <v>0.34499999999999997</v>
          </cell>
          <cell r="H14">
            <v>1E-3</v>
          </cell>
          <cell r="I14">
            <v>0</v>
          </cell>
          <cell r="J14">
            <v>0.01</v>
          </cell>
          <cell r="K14">
            <v>0</v>
          </cell>
          <cell r="L14"/>
          <cell r="M14">
            <v>0.78400000000000003</v>
          </cell>
          <cell r="N14">
            <v>784</v>
          </cell>
          <cell r="O14">
            <v>2.5</v>
          </cell>
        </row>
        <row r="15">
          <cell r="B15" t="str">
            <v>Latex</v>
          </cell>
          <cell r="C15"/>
          <cell r="D15"/>
          <cell r="E15"/>
          <cell r="F15">
            <v>1000</v>
          </cell>
          <cell r="G15"/>
          <cell r="H15"/>
          <cell r="I15"/>
          <cell r="J15"/>
          <cell r="K15"/>
          <cell r="L15"/>
          <cell r="M15">
            <v>3.85</v>
          </cell>
          <cell r="N15">
            <v>3850</v>
          </cell>
        </row>
        <row r="16">
          <cell r="B16" t="str">
            <v/>
          </cell>
          <cell r="C16"/>
          <cell r="D16"/>
          <cell r="E16"/>
          <cell r="F16"/>
          <cell r="G16"/>
          <cell r="H16"/>
          <cell r="I16"/>
          <cell r="J16"/>
          <cell r="K16"/>
          <cell r="L16"/>
          <cell r="M16" t="str">
            <v/>
          </cell>
          <cell r="N16"/>
        </row>
        <row r="17">
          <cell r="B17" t="str">
            <v/>
          </cell>
          <cell r="C17"/>
          <cell r="D17"/>
          <cell r="E17"/>
          <cell r="F17"/>
          <cell r="G17"/>
          <cell r="H17"/>
          <cell r="I17"/>
          <cell r="J17"/>
          <cell r="K17"/>
          <cell r="L17"/>
          <cell r="M17" t="str">
            <v/>
          </cell>
          <cell r="N17"/>
        </row>
        <row r="18">
          <cell r="B18" t="str">
            <v/>
          </cell>
          <cell r="C18"/>
          <cell r="D18"/>
          <cell r="E18"/>
          <cell r="F18"/>
          <cell r="G18"/>
          <cell r="H18"/>
          <cell r="I18"/>
          <cell r="J18"/>
          <cell r="K18"/>
          <cell r="L18"/>
          <cell r="M18" t="str">
            <v/>
          </cell>
          <cell r="N18"/>
        </row>
        <row r="19">
          <cell r="B19" t="str">
            <v/>
          </cell>
          <cell r="C19"/>
          <cell r="D19"/>
          <cell r="E19"/>
          <cell r="F19"/>
          <cell r="G19"/>
          <cell r="H19"/>
          <cell r="I19"/>
          <cell r="J19"/>
          <cell r="K19"/>
          <cell r="L19"/>
          <cell r="M19" t="str">
            <v/>
          </cell>
          <cell r="N19"/>
        </row>
        <row r="20">
          <cell r="B20" t="str">
            <v/>
          </cell>
          <cell r="C20"/>
          <cell r="D20"/>
          <cell r="E20"/>
          <cell r="F20"/>
          <cell r="G20"/>
          <cell r="H20"/>
          <cell r="I20"/>
          <cell r="J20"/>
          <cell r="K20"/>
          <cell r="L20"/>
          <cell r="M20" t="str">
            <v/>
          </cell>
          <cell r="N20"/>
        </row>
        <row r="21">
          <cell r="B21" t="str">
            <v/>
          </cell>
          <cell r="C21"/>
          <cell r="D21"/>
          <cell r="E21"/>
          <cell r="F21"/>
          <cell r="G21"/>
          <cell r="H21"/>
          <cell r="I21"/>
          <cell r="J21"/>
          <cell r="K21"/>
          <cell r="L21"/>
          <cell r="M21" t="str">
            <v/>
          </cell>
          <cell r="N21"/>
        </row>
        <row r="22">
          <cell r="B22" t="str">
            <v/>
          </cell>
          <cell r="C22"/>
          <cell r="D22"/>
          <cell r="E22"/>
          <cell r="F22"/>
          <cell r="G22"/>
          <cell r="H22"/>
          <cell r="I22"/>
          <cell r="J22"/>
          <cell r="K22"/>
          <cell r="L22"/>
          <cell r="M22" t="str">
            <v/>
          </cell>
          <cell r="N22"/>
        </row>
        <row r="23">
          <cell r="B23" t="str">
            <v/>
          </cell>
          <cell r="C23"/>
          <cell r="D23"/>
          <cell r="E23"/>
          <cell r="F23"/>
          <cell r="G23"/>
          <cell r="H23"/>
          <cell r="I23"/>
          <cell r="J23"/>
          <cell r="K23"/>
          <cell r="L23"/>
          <cell r="M23" t="str">
            <v/>
          </cell>
          <cell r="N23"/>
        </row>
        <row r="24">
          <cell r="B24" t="str">
            <v/>
          </cell>
          <cell r="C24"/>
          <cell r="D24"/>
          <cell r="E24"/>
          <cell r="F24"/>
          <cell r="G24"/>
          <cell r="H24"/>
          <cell r="I24"/>
          <cell r="J24"/>
          <cell r="K24"/>
          <cell r="L24"/>
          <cell r="M24" t="str">
            <v/>
          </cell>
          <cell r="N24"/>
        </row>
        <row r="25">
          <cell r="B25" t="str">
            <v/>
          </cell>
          <cell r="C25"/>
          <cell r="D25"/>
          <cell r="E25"/>
          <cell r="F25"/>
          <cell r="G25"/>
          <cell r="H25"/>
          <cell r="I25"/>
          <cell r="J25"/>
          <cell r="K25"/>
          <cell r="L25"/>
          <cell r="M25" t="str">
            <v/>
          </cell>
          <cell r="N25"/>
        </row>
        <row r="26">
          <cell r="B26" t="str">
            <v/>
          </cell>
          <cell r="C26"/>
          <cell r="D26"/>
          <cell r="E26"/>
          <cell r="F26"/>
          <cell r="G26"/>
          <cell r="H26"/>
          <cell r="I26"/>
          <cell r="J26"/>
          <cell r="K26"/>
          <cell r="L26"/>
          <cell r="M26" t="str">
            <v/>
          </cell>
          <cell r="N26"/>
        </row>
        <row r="27">
          <cell r="B27" t="str">
            <v/>
          </cell>
          <cell r="C27"/>
          <cell r="D27"/>
          <cell r="E27"/>
          <cell r="F27"/>
          <cell r="G27"/>
          <cell r="H27"/>
          <cell r="I27"/>
          <cell r="J27"/>
          <cell r="K27"/>
          <cell r="L27"/>
          <cell r="M27" t="str">
            <v/>
          </cell>
          <cell r="N27"/>
        </row>
        <row r="28">
          <cell r="B28" t="str">
            <v/>
          </cell>
          <cell r="C28"/>
          <cell r="D28"/>
          <cell r="E28"/>
          <cell r="F28"/>
          <cell r="G28"/>
          <cell r="H28"/>
          <cell r="I28"/>
          <cell r="J28"/>
          <cell r="K28"/>
          <cell r="L28"/>
          <cell r="M28" t="str">
            <v/>
          </cell>
          <cell r="N28"/>
        </row>
        <row r="29">
          <cell r="B29" t="str">
            <v/>
          </cell>
          <cell r="C29"/>
          <cell r="D29"/>
          <cell r="E29"/>
          <cell r="F29"/>
          <cell r="G29"/>
          <cell r="H29"/>
          <cell r="I29"/>
          <cell r="J29"/>
          <cell r="K29"/>
          <cell r="L29"/>
          <cell r="M29" t="str">
            <v/>
          </cell>
          <cell r="N29"/>
        </row>
        <row r="30">
          <cell r="B30" t="str">
            <v/>
          </cell>
          <cell r="C30"/>
          <cell r="D30"/>
          <cell r="E30"/>
          <cell r="F30"/>
          <cell r="G30"/>
          <cell r="H30"/>
          <cell r="I30"/>
          <cell r="J30"/>
          <cell r="K30"/>
          <cell r="L30"/>
          <cell r="M30" t="str">
            <v/>
          </cell>
          <cell r="N30"/>
        </row>
        <row r="31">
          <cell r="B31" t="str">
            <v/>
          </cell>
          <cell r="C31"/>
          <cell r="D31"/>
          <cell r="E31"/>
          <cell r="F31"/>
          <cell r="G31"/>
          <cell r="H31"/>
          <cell r="I31"/>
          <cell r="J31"/>
          <cell r="K31"/>
          <cell r="L31"/>
          <cell r="M31" t="str">
            <v/>
          </cell>
          <cell r="N31"/>
        </row>
        <row r="32">
          <cell r="B32" t="str">
            <v/>
          </cell>
          <cell r="C32"/>
          <cell r="D32"/>
          <cell r="E32"/>
          <cell r="F32"/>
          <cell r="G32"/>
          <cell r="H32"/>
          <cell r="I32"/>
          <cell r="J32"/>
          <cell r="K32"/>
          <cell r="L32"/>
          <cell r="M32" t="str">
            <v/>
          </cell>
          <cell r="N32"/>
        </row>
        <row r="33">
          <cell r="B33" t="str">
            <v/>
          </cell>
          <cell r="C33"/>
          <cell r="D33"/>
          <cell r="E33"/>
          <cell r="F33"/>
          <cell r="G33"/>
          <cell r="H33"/>
          <cell r="I33"/>
          <cell r="J33"/>
          <cell r="K33"/>
          <cell r="L33"/>
          <cell r="M33" t="str">
            <v/>
          </cell>
          <cell r="N33"/>
        </row>
        <row r="34">
          <cell r="B34" t="str">
            <v/>
          </cell>
          <cell r="C34"/>
          <cell r="D34"/>
          <cell r="E34"/>
          <cell r="F34"/>
          <cell r="G34"/>
          <cell r="H34"/>
          <cell r="I34"/>
          <cell r="J34"/>
          <cell r="K34"/>
          <cell r="L34"/>
          <cell r="M34" t="str">
            <v/>
          </cell>
          <cell r="N34"/>
        </row>
        <row r="35">
          <cell r="B35" t="str">
            <v/>
          </cell>
          <cell r="C35"/>
          <cell r="D35"/>
          <cell r="E35"/>
          <cell r="F35"/>
          <cell r="G35"/>
          <cell r="H35"/>
          <cell r="I35"/>
          <cell r="J35"/>
          <cell r="K35"/>
          <cell r="L35"/>
          <cell r="M35" t="str">
            <v/>
          </cell>
          <cell r="N35"/>
        </row>
        <row r="36">
          <cell r="B36" t="str">
            <v/>
          </cell>
          <cell r="C36"/>
          <cell r="D36"/>
          <cell r="E36"/>
          <cell r="F36"/>
          <cell r="G36"/>
          <cell r="H36"/>
          <cell r="I36"/>
          <cell r="J36"/>
          <cell r="K36"/>
          <cell r="L36"/>
          <cell r="M36" t="str">
            <v/>
          </cell>
          <cell r="N36"/>
        </row>
        <row r="37">
          <cell r="B37" t="str">
            <v/>
          </cell>
          <cell r="C37"/>
          <cell r="D37"/>
          <cell r="E37"/>
          <cell r="F37"/>
          <cell r="G37"/>
          <cell r="H37"/>
          <cell r="I37"/>
          <cell r="J37"/>
          <cell r="K37"/>
          <cell r="L37"/>
          <cell r="M37" t="str">
            <v/>
          </cell>
          <cell r="N37"/>
        </row>
        <row r="38">
          <cell r="B38" t="str">
            <v/>
          </cell>
          <cell r="C38"/>
          <cell r="D38"/>
          <cell r="E38"/>
          <cell r="F38"/>
          <cell r="G38"/>
          <cell r="H38"/>
          <cell r="I38"/>
          <cell r="J38"/>
          <cell r="K38"/>
          <cell r="L38"/>
          <cell r="M38" t="str">
            <v/>
          </cell>
          <cell r="N38"/>
        </row>
        <row r="39">
          <cell r="B39" t="str">
            <v/>
          </cell>
          <cell r="C39"/>
          <cell r="D39"/>
          <cell r="E39"/>
          <cell r="F39"/>
          <cell r="G39"/>
          <cell r="H39"/>
          <cell r="I39"/>
          <cell r="J39"/>
          <cell r="K39"/>
          <cell r="L39"/>
          <cell r="M39" t="str">
            <v/>
          </cell>
          <cell r="N39"/>
        </row>
        <row r="40">
          <cell r="B40" t="str">
            <v/>
          </cell>
          <cell r="C40"/>
          <cell r="D40"/>
          <cell r="E40"/>
          <cell r="F40"/>
          <cell r="G40"/>
          <cell r="H40"/>
          <cell r="I40"/>
          <cell r="J40"/>
          <cell r="K40"/>
          <cell r="L40"/>
          <cell r="M40" t="str">
            <v/>
          </cell>
          <cell r="N40"/>
        </row>
        <row r="41">
          <cell r="B41" t="str">
            <v/>
          </cell>
          <cell r="C41"/>
          <cell r="D41"/>
          <cell r="E41"/>
          <cell r="F41"/>
          <cell r="G41"/>
          <cell r="H41"/>
          <cell r="I41"/>
          <cell r="J41"/>
          <cell r="K41"/>
          <cell r="L41"/>
          <cell r="M41" t="str">
            <v/>
          </cell>
          <cell r="N41"/>
        </row>
        <row r="42">
          <cell r="B42" t="str">
            <v/>
          </cell>
          <cell r="C42"/>
          <cell r="D42"/>
          <cell r="E42"/>
          <cell r="F42"/>
          <cell r="G42"/>
          <cell r="H42"/>
          <cell r="I42"/>
          <cell r="J42"/>
          <cell r="K42"/>
          <cell r="L42"/>
          <cell r="M42" t="str">
            <v/>
          </cell>
          <cell r="N42"/>
        </row>
        <row r="43">
          <cell r="B43" t="str">
            <v/>
          </cell>
          <cell r="C43"/>
          <cell r="D43"/>
          <cell r="E43"/>
          <cell r="F43"/>
          <cell r="G43"/>
          <cell r="H43"/>
          <cell r="I43"/>
          <cell r="J43"/>
          <cell r="K43"/>
          <cell r="L43"/>
          <cell r="M43" t="str">
            <v/>
          </cell>
          <cell r="N43"/>
        </row>
        <row r="44">
          <cell r="B44" t="str">
            <v/>
          </cell>
          <cell r="C44"/>
          <cell r="D44"/>
          <cell r="E44"/>
          <cell r="F44"/>
          <cell r="G44"/>
          <cell r="H44"/>
          <cell r="I44"/>
          <cell r="J44"/>
          <cell r="K44"/>
          <cell r="L44"/>
          <cell r="M44" t="str">
            <v/>
          </cell>
          <cell r="N44"/>
        </row>
        <row r="45">
          <cell r="B45" t="str">
            <v/>
          </cell>
          <cell r="C45"/>
          <cell r="D45"/>
          <cell r="E45"/>
          <cell r="F45"/>
          <cell r="G45"/>
          <cell r="H45"/>
          <cell r="I45"/>
          <cell r="J45"/>
          <cell r="K45"/>
          <cell r="L45"/>
          <cell r="M45" t="str">
            <v/>
          </cell>
          <cell r="N45"/>
        </row>
        <row r="46">
          <cell r="B46" t="str">
            <v/>
          </cell>
          <cell r="C46"/>
          <cell r="D46"/>
          <cell r="E46"/>
          <cell r="F46"/>
          <cell r="G46"/>
          <cell r="H46"/>
          <cell r="I46"/>
          <cell r="J46"/>
          <cell r="K46"/>
          <cell r="L46"/>
          <cell r="M46" t="str">
            <v/>
          </cell>
          <cell r="N46"/>
        </row>
        <row r="47">
          <cell r="B47" t="str">
            <v/>
          </cell>
          <cell r="C47"/>
          <cell r="D47"/>
          <cell r="E47"/>
          <cell r="F47"/>
          <cell r="G47"/>
          <cell r="H47"/>
          <cell r="I47"/>
          <cell r="J47"/>
          <cell r="K47"/>
          <cell r="L47"/>
          <cell r="M47" t="str">
            <v/>
          </cell>
          <cell r="N47"/>
        </row>
        <row r="48">
          <cell r="B48" t="str">
            <v/>
          </cell>
          <cell r="C48"/>
          <cell r="D48"/>
          <cell r="E48"/>
          <cell r="F48"/>
          <cell r="G48"/>
          <cell r="H48"/>
          <cell r="I48"/>
          <cell r="J48"/>
          <cell r="K48"/>
          <cell r="L48"/>
          <cell r="M48" t="str">
            <v/>
          </cell>
          <cell r="N48"/>
        </row>
      </sheetData>
      <sheetData sheetId="4" refreshError="1"/>
      <sheetData sheetId="5" refreshError="1"/>
      <sheetData sheetId="6" refreshError="1">
        <row r="3">
          <cell r="B3"/>
          <cell r="C3" t="str">
            <v>Bodem</v>
          </cell>
          <cell r="D3">
            <v>6.3E-2</v>
          </cell>
          <cell r="E3">
            <v>0.125</v>
          </cell>
          <cell r="F3">
            <v>0.25</v>
          </cell>
          <cell r="G3">
            <v>0.5</v>
          </cell>
          <cell r="H3">
            <v>1</v>
          </cell>
          <cell r="I3">
            <v>2</v>
          </cell>
          <cell r="J3">
            <v>4</v>
          </cell>
          <cell r="K3">
            <v>6.3</v>
          </cell>
          <cell r="L3">
            <v>8</v>
          </cell>
          <cell r="M3">
            <v>10</v>
          </cell>
          <cell r="N3">
            <v>12.5</v>
          </cell>
          <cell r="O3">
            <v>14</v>
          </cell>
          <cell r="P3">
            <v>16</v>
          </cell>
          <cell r="Q3">
            <v>20</v>
          </cell>
          <cell r="R3">
            <v>31.5</v>
          </cell>
          <cell r="S3">
            <v>40</v>
          </cell>
          <cell r="T3">
            <v>0</v>
          </cell>
          <cell r="U3">
            <v>0</v>
          </cell>
          <cell r="V3">
            <v>0</v>
          </cell>
          <cell r="W3">
            <v>0</v>
          </cell>
          <cell r="X3">
            <v>0</v>
          </cell>
          <cell r="Y3"/>
        </row>
        <row r="4">
          <cell r="B4" t="str">
            <v>Rond zand 0/4(0/2,5) MF A f3 a CB SA</v>
          </cell>
          <cell r="C4">
            <v>0</v>
          </cell>
          <cell r="D4">
            <v>0.8</v>
          </cell>
          <cell r="E4">
            <v>1</v>
          </cell>
          <cell r="F4">
            <v>24</v>
          </cell>
          <cell r="G4">
            <v>72</v>
          </cell>
          <cell r="H4">
            <v>88</v>
          </cell>
          <cell r="I4">
            <v>94</v>
          </cell>
          <cell r="J4">
            <v>98</v>
          </cell>
          <cell r="K4">
            <v>99</v>
          </cell>
          <cell r="L4">
            <v>100</v>
          </cell>
          <cell r="M4">
            <v>100</v>
          </cell>
          <cell r="N4">
            <v>100</v>
          </cell>
          <cell r="O4">
            <v>100</v>
          </cell>
          <cell r="P4">
            <v>100</v>
          </cell>
          <cell r="Q4">
            <v>100</v>
          </cell>
          <cell r="R4">
            <v>100</v>
          </cell>
          <cell r="S4">
            <v>100</v>
          </cell>
          <cell r="T4">
            <v>100</v>
          </cell>
          <cell r="U4">
            <v>100</v>
          </cell>
          <cell r="V4">
            <v>100</v>
          </cell>
          <cell r="W4">
            <v>100</v>
          </cell>
          <cell r="X4">
            <v>100</v>
          </cell>
          <cell r="Y4" t="str">
            <v/>
          </cell>
        </row>
        <row r="5">
          <cell r="B5" t="str">
            <v>Rond Zand (0/4) CF A f3 a CB SA gewassen - speciaal</v>
          </cell>
          <cell r="C5">
            <v>0</v>
          </cell>
          <cell r="D5">
            <v>0.70000000000000007</v>
          </cell>
          <cell r="E5">
            <v>3</v>
          </cell>
          <cell r="F5">
            <v>12</v>
          </cell>
          <cell r="G5">
            <v>55.000000000000007</v>
          </cell>
          <cell r="H5">
            <v>72</v>
          </cell>
          <cell r="I5">
            <v>85</v>
          </cell>
          <cell r="J5">
            <v>94.8</v>
          </cell>
          <cell r="K5">
            <v>100</v>
          </cell>
          <cell r="L5">
            <v>100</v>
          </cell>
          <cell r="M5">
            <v>100</v>
          </cell>
          <cell r="N5">
            <v>100</v>
          </cell>
          <cell r="O5">
            <v>100</v>
          </cell>
          <cell r="P5">
            <v>100</v>
          </cell>
          <cell r="Q5">
            <v>100</v>
          </cell>
          <cell r="R5">
            <v>100</v>
          </cell>
          <cell r="S5">
            <v>100</v>
          </cell>
          <cell r="T5">
            <v>100</v>
          </cell>
          <cell r="U5">
            <v>100</v>
          </cell>
          <cell r="V5">
            <v>100</v>
          </cell>
          <cell r="W5">
            <v>100</v>
          </cell>
          <cell r="X5">
            <v>100</v>
          </cell>
          <cell r="Y5" t="str">
            <v/>
          </cell>
        </row>
        <row r="6">
          <cell r="B6" t="str">
            <v>grof gebroken kalksteengranulaat 2/6 Ca4a I f2 NG</v>
          </cell>
          <cell r="C6">
            <v>0</v>
          </cell>
          <cell r="D6">
            <v>2.1</v>
          </cell>
          <cell r="E6">
            <v>2.1</v>
          </cell>
          <cell r="F6">
            <v>2.1</v>
          </cell>
          <cell r="G6">
            <v>2.1</v>
          </cell>
          <cell r="H6">
            <v>3</v>
          </cell>
          <cell r="I6">
            <v>7.0000000000000009</v>
          </cell>
          <cell r="J6">
            <v>56.999999999999993</v>
          </cell>
          <cell r="K6">
            <v>91</v>
          </cell>
          <cell r="L6">
            <v>100</v>
          </cell>
          <cell r="M6">
            <v>100</v>
          </cell>
          <cell r="N6">
            <v>100</v>
          </cell>
          <cell r="O6">
            <v>100</v>
          </cell>
          <cell r="P6">
            <v>100</v>
          </cell>
          <cell r="Q6">
            <v>100</v>
          </cell>
          <cell r="R6">
            <v>100</v>
          </cell>
          <cell r="S6">
            <v>100</v>
          </cell>
          <cell r="T6">
            <v>100</v>
          </cell>
          <cell r="U6">
            <v>100</v>
          </cell>
          <cell r="V6">
            <v>100</v>
          </cell>
          <cell r="W6">
            <v>100</v>
          </cell>
          <cell r="X6">
            <v>100</v>
          </cell>
          <cell r="Y6" t="str">
            <v/>
          </cell>
        </row>
        <row r="7">
          <cell r="B7" t="str">
            <v>grof gebroken kalksteengranulaat 6/14 Ca4a II f1,5 NG</v>
          </cell>
          <cell r="C7">
            <v>0</v>
          </cell>
          <cell r="D7">
            <v>1.0999999999999999</v>
          </cell>
          <cell r="E7">
            <v>1.0999999999999999</v>
          </cell>
          <cell r="F7">
            <v>1.0999999999999999</v>
          </cell>
          <cell r="G7">
            <v>1.0999999999999999</v>
          </cell>
          <cell r="H7">
            <v>1.0999999999999999</v>
          </cell>
          <cell r="I7">
            <v>1.0999999999999999</v>
          </cell>
          <cell r="J7">
            <v>4</v>
          </cell>
          <cell r="K7">
            <v>11</v>
          </cell>
          <cell r="L7">
            <v>56.999999999999993</v>
          </cell>
          <cell r="M7">
            <v>57.999999999999993</v>
          </cell>
          <cell r="N7">
            <v>95</v>
          </cell>
          <cell r="O7">
            <v>95</v>
          </cell>
          <cell r="P7">
            <v>100</v>
          </cell>
          <cell r="Q7">
            <v>100</v>
          </cell>
          <cell r="R7">
            <v>100</v>
          </cell>
          <cell r="S7">
            <v>100</v>
          </cell>
          <cell r="T7">
            <v>100</v>
          </cell>
          <cell r="U7">
            <v>100</v>
          </cell>
          <cell r="V7">
            <v>100</v>
          </cell>
          <cell r="W7">
            <v>100</v>
          </cell>
          <cell r="X7">
            <v>100</v>
          </cell>
          <cell r="Y7" t="str">
            <v/>
          </cell>
        </row>
        <row r="8">
          <cell r="B8" t="str">
            <v>grof gebroken kalksteengranulaat 6/20 Ca4a II f1,5 NG</v>
          </cell>
          <cell r="C8">
            <v>0</v>
          </cell>
          <cell r="D8">
            <v>1</v>
          </cell>
          <cell r="E8">
            <v>1</v>
          </cell>
          <cell r="F8">
            <v>1</v>
          </cell>
          <cell r="G8">
            <v>1</v>
          </cell>
          <cell r="H8">
            <v>1</v>
          </cell>
          <cell r="I8">
            <v>1</v>
          </cell>
          <cell r="J8">
            <v>2</v>
          </cell>
          <cell r="K8">
            <v>5</v>
          </cell>
          <cell r="L8">
            <v>13</v>
          </cell>
          <cell r="M8">
            <v>28.000000000000004</v>
          </cell>
          <cell r="N8">
            <v>35</v>
          </cell>
          <cell r="O8">
            <v>43</v>
          </cell>
          <cell r="P8">
            <v>75</v>
          </cell>
          <cell r="Q8">
            <v>93</v>
          </cell>
          <cell r="R8">
            <v>100</v>
          </cell>
          <cell r="S8">
            <v>100</v>
          </cell>
          <cell r="T8">
            <v>100</v>
          </cell>
          <cell r="U8">
            <v>100</v>
          </cell>
          <cell r="V8">
            <v>100</v>
          </cell>
          <cell r="W8">
            <v>100</v>
          </cell>
          <cell r="X8">
            <v>100</v>
          </cell>
          <cell r="Y8" t="str">
            <v/>
          </cell>
        </row>
        <row r="9">
          <cell r="B9" t="str">
            <v>Lysit 2/8</v>
          </cell>
          <cell r="C9">
            <v>0.5</v>
          </cell>
          <cell r="D9">
            <v>1</v>
          </cell>
          <cell r="E9">
            <v>1</v>
          </cell>
          <cell r="F9">
            <v>1</v>
          </cell>
          <cell r="G9">
            <v>1</v>
          </cell>
          <cell r="H9">
            <v>1</v>
          </cell>
          <cell r="I9">
            <v>1</v>
          </cell>
          <cell r="J9">
            <v>21</v>
          </cell>
          <cell r="K9">
            <v>56.000000000000007</v>
          </cell>
          <cell r="L9">
            <v>85</v>
          </cell>
          <cell r="M9">
            <v>98</v>
          </cell>
          <cell r="N9">
            <v>100</v>
          </cell>
          <cell r="O9">
            <v>100</v>
          </cell>
          <cell r="P9">
            <v>100</v>
          </cell>
          <cell r="Q9">
            <v>100</v>
          </cell>
          <cell r="R9">
            <v>100</v>
          </cell>
          <cell r="S9">
            <v>100</v>
          </cell>
          <cell r="T9">
            <v>100</v>
          </cell>
          <cell r="U9">
            <v>100</v>
          </cell>
          <cell r="V9">
            <v>100</v>
          </cell>
          <cell r="W9">
            <v>100</v>
          </cell>
          <cell r="X9">
            <v>100</v>
          </cell>
          <cell r="Y9" t="str">
            <v/>
          </cell>
        </row>
        <row r="10">
          <cell r="B10" t="str">
            <v>betongranulaat 4/20 mm</v>
          </cell>
          <cell r="C10">
            <v>0</v>
          </cell>
          <cell r="D10">
            <v>2.8000000000000003</v>
          </cell>
          <cell r="E10">
            <v>3.3000000000000003</v>
          </cell>
          <cell r="F10">
            <v>4.3</v>
          </cell>
          <cell r="G10">
            <v>5.2</v>
          </cell>
          <cell r="H10">
            <v>6</v>
          </cell>
          <cell r="I10">
            <v>6.9</v>
          </cell>
          <cell r="J10">
            <v>13.3</v>
          </cell>
          <cell r="K10">
            <v>23</v>
          </cell>
          <cell r="L10">
            <v>33.1</v>
          </cell>
          <cell r="M10">
            <v>48</v>
          </cell>
          <cell r="N10">
            <v>60</v>
          </cell>
          <cell r="O10">
            <v>80</v>
          </cell>
          <cell r="P10">
            <v>88.9</v>
          </cell>
          <cell r="Q10">
            <v>100</v>
          </cell>
          <cell r="R10">
            <v>100</v>
          </cell>
          <cell r="S10">
            <v>100</v>
          </cell>
          <cell r="T10">
            <v>100</v>
          </cell>
          <cell r="U10">
            <v>100</v>
          </cell>
          <cell r="V10">
            <v>100</v>
          </cell>
          <cell r="W10">
            <v>100</v>
          </cell>
          <cell r="X10">
            <v>100</v>
          </cell>
          <cell r="Y10" t="str">
            <v/>
          </cell>
        </row>
        <row r="11">
          <cell r="B11" t="str">
            <v>Bavaria 8/11</v>
          </cell>
          <cell r="C11">
            <v>0.1</v>
          </cell>
          <cell r="D11">
            <v>0</v>
          </cell>
          <cell r="E11">
            <v>0</v>
          </cell>
          <cell r="F11">
            <v>0</v>
          </cell>
          <cell r="G11">
            <v>0</v>
          </cell>
          <cell r="H11">
            <v>0</v>
          </cell>
          <cell r="I11">
            <v>0</v>
          </cell>
          <cell r="J11">
            <v>0</v>
          </cell>
          <cell r="K11">
            <v>6</v>
          </cell>
          <cell r="L11">
            <v>8</v>
          </cell>
          <cell r="M11">
            <v>96</v>
          </cell>
          <cell r="N11">
            <v>97</v>
          </cell>
          <cell r="O11">
            <v>98</v>
          </cell>
          <cell r="P11">
            <v>100</v>
          </cell>
          <cell r="Q11">
            <v>100</v>
          </cell>
          <cell r="R11">
            <v>100</v>
          </cell>
          <cell r="S11">
            <v>100</v>
          </cell>
          <cell r="T11">
            <v>100</v>
          </cell>
          <cell r="U11">
            <v>100</v>
          </cell>
          <cell r="V11">
            <v>100</v>
          </cell>
          <cell r="W11">
            <v>100</v>
          </cell>
          <cell r="X11">
            <v>100</v>
          </cell>
          <cell r="Y11" t="str">
            <v/>
          </cell>
        </row>
        <row r="12">
          <cell r="B12" t="str">
            <v>Bavaria 11/16</v>
          </cell>
          <cell r="C12">
            <v>0.1</v>
          </cell>
          <cell r="D12">
            <v>0</v>
          </cell>
          <cell r="E12">
            <v>0</v>
          </cell>
          <cell r="F12">
            <v>0</v>
          </cell>
          <cell r="G12">
            <v>0</v>
          </cell>
          <cell r="H12">
            <v>0</v>
          </cell>
          <cell r="I12">
            <v>0</v>
          </cell>
          <cell r="J12">
            <v>0</v>
          </cell>
          <cell r="K12">
            <v>0</v>
          </cell>
          <cell r="L12">
            <v>6</v>
          </cell>
          <cell r="M12">
            <v>8</v>
          </cell>
          <cell r="N12">
            <v>96</v>
          </cell>
          <cell r="O12">
            <v>97</v>
          </cell>
          <cell r="P12">
            <v>98</v>
          </cell>
          <cell r="Q12">
            <v>100</v>
          </cell>
          <cell r="R12">
            <v>100</v>
          </cell>
          <cell r="S12">
            <v>100</v>
          </cell>
          <cell r="T12">
            <v>100</v>
          </cell>
          <cell r="U12">
            <v>100</v>
          </cell>
          <cell r="V12">
            <v>100</v>
          </cell>
          <cell r="W12">
            <v>100</v>
          </cell>
          <cell r="X12">
            <v>100</v>
          </cell>
          <cell r="Y12" t="str">
            <v/>
          </cell>
        </row>
        <row r="13">
          <cell r="B13" t="str">
            <v>Basalt 2/8</v>
          </cell>
          <cell r="C13">
            <v>0.5</v>
          </cell>
          <cell r="D13">
            <v>1</v>
          </cell>
          <cell r="E13">
            <v>1</v>
          </cell>
          <cell r="F13">
            <v>1</v>
          </cell>
          <cell r="G13">
            <v>1</v>
          </cell>
          <cell r="H13">
            <v>1</v>
          </cell>
          <cell r="I13">
            <v>1</v>
          </cell>
          <cell r="J13">
            <v>21</v>
          </cell>
          <cell r="K13">
            <v>56.000000000000007</v>
          </cell>
          <cell r="L13">
            <v>85</v>
          </cell>
          <cell r="M13">
            <v>98</v>
          </cell>
          <cell r="N13">
            <v>100</v>
          </cell>
          <cell r="O13">
            <v>100</v>
          </cell>
          <cell r="P13">
            <v>100</v>
          </cell>
          <cell r="Q13">
            <v>100</v>
          </cell>
          <cell r="R13">
            <v>100</v>
          </cell>
          <cell r="S13">
            <v>100</v>
          </cell>
          <cell r="T13">
            <v>100</v>
          </cell>
          <cell r="U13">
            <v>100</v>
          </cell>
          <cell r="V13">
            <v>100</v>
          </cell>
          <cell r="W13">
            <v>100</v>
          </cell>
          <cell r="X13">
            <v>100</v>
          </cell>
          <cell r="Y13" t="str">
            <v/>
          </cell>
        </row>
        <row r="14">
          <cell r="B14" t="str">
            <v>Basalt 5/8</v>
          </cell>
          <cell r="C14">
            <v>0.5</v>
          </cell>
          <cell r="D14">
            <v>1</v>
          </cell>
          <cell r="E14">
            <v>1</v>
          </cell>
          <cell r="F14">
            <v>1</v>
          </cell>
          <cell r="G14">
            <v>1</v>
          </cell>
          <cell r="H14">
            <v>1</v>
          </cell>
          <cell r="I14">
            <v>1</v>
          </cell>
          <cell r="J14">
            <v>2</v>
          </cell>
          <cell r="K14">
            <v>12</v>
          </cell>
          <cell r="L14">
            <v>91</v>
          </cell>
          <cell r="M14">
            <v>100</v>
          </cell>
          <cell r="N14">
            <v>100</v>
          </cell>
          <cell r="O14">
            <v>100</v>
          </cell>
          <cell r="P14">
            <v>100</v>
          </cell>
          <cell r="Q14">
            <v>100</v>
          </cell>
          <cell r="R14">
            <v>100</v>
          </cell>
          <cell r="S14">
            <v>100</v>
          </cell>
          <cell r="T14">
            <v>100</v>
          </cell>
          <cell r="U14">
            <v>100</v>
          </cell>
          <cell r="V14">
            <v>100</v>
          </cell>
          <cell r="W14">
            <v>100</v>
          </cell>
          <cell r="X14">
            <v>100</v>
          </cell>
          <cell r="Y14" t="str">
            <v/>
          </cell>
        </row>
        <row r="15">
          <cell r="B15" t="str">
            <v>grof gebroken porfiergranulaat 4/6,3 Aa2 I f1 NG</v>
          </cell>
          <cell r="C15">
            <v>0</v>
          </cell>
          <cell r="D15">
            <v>0.6</v>
          </cell>
          <cell r="E15">
            <v>0</v>
          </cell>
          <cell r="F15">
            <v>0</v>
          </cell>
          <cell r="G15">
            <v>0</v>
          </cell>
          <cell r="H15">
            <v>1</v>
          </cell>
          <cell r="I15">
            <v>1</v>
          </cell>
          <cell r="J15">
            <v>13</v>
          </cell>
          <cell r="K15">
            <v>86</v>
          </cell>
          <cell r="L15">
            <v>100</v>
          </cell>
          <cell r="M15">
            <v>100</v>
          </cell>
          <cell r="N15">
            <v>100</v>
          </cell>
          <cell r="O15">
            <v>100</v>
          </cell>
          <cell r="P15">
            <v>100</v>
          </cell>
          <cell r="Q15">
            <v>100</v>
          </cell>
          <cell r="R15">
            <v>100</v>
          </cell>
          <cell r="S15">
            <v>100</v>
          </cell>
          <cell r="T15">
            <v>100</v>
          </cell>
          <cell r="U15">
            <v>100</v>
          </cell>
          <cell r="V15">
            <v>100</v>
          </cell>
          <cell r="W15">
            <v>100</v>
          </cell>
          <cell r="X15">
            <v>100</v>
          </cell>
          <cell r="Y15" t="str">
            <v/>
          </cell>
        </row>
        <row r="16">
          <cell r="B16" t="str">
            <v>grof gebroken porfiergranulaat 2/20 Aa2 II f1,5 NG</v>
          </cell>
          <cell r="C16">
            <v>0</v>
          </cell>
          <cell r="D16">
            <v>0.89999999999999991</v>
          </cell>
          <cell r="E16">
            <v>0</v>
          </cell>
          <cell r="F16">
            <v>0</v>
          </cell>
          <cell r="G16">
            <v>0</v>
          </cell>
          <cell r="H16">
            <v>2</v>
          </cell>
          <cell r="I16">
            <v>3</v>
          </cell>
          <cell r="J16">
            <v>3</v>
          </cell>
          <cell r="K16">
            <v>3</v>
          </cell>
          <cell r="L16">
            <v>3</v>
          </cell>
          <cell r="M16">
            <v>38</v>
          </cell>
          <cell r="N16">
            <v>40</v>
          </cell>
          <cell r="O16">
            <v>60</v>
          </cell>
          <cell r="P16">
            <v>75</v>
          </cell>
          <cell r="Q16">
            <v>96</v>
          </cell>
          <cell r="R16">
            <v>100</v>
          </cell>
          <cell r="S16">
            <v>100</v>
          </cell>
          <cell r="T16">
            <v>100</v>
          </cell>
          <cell r="U16">
            <v>100</v>
          </cell>
          <cell r="V16">
            <v>100</v>
          </cell>
          <cell r="W16">
            <v>100</v>
          </cell>
          <cell r="X16">
            <v>100</v>
          </cell>
          <cell r="Y16" t="str">
            <v/>
          </cell>
        </row>
        <row r="17">
          <cell r="B17" t="str">
            <v>Gebroken Porfiergranulaat 10/20 R</v>
          </cell>
          <cell r="C17">
            <v>0.5</v>
          </cell>
          <cell r="D17">
            <v>1</v>
          </cell>
          <cell r="E17">
            <v>1</v>
          </cell>
          <cell r="F17">
            <v>1</v>
          </cell>
          <cell r="G17">
            <v>1</v>
          </cell>
          <cell r="H17">
            <v>1</v>
          </cell>
          <cell r="I17">
            <v>1</v>
          </cell>
          <cell r="J17">
            <v>1</v>
          </cell>
          <cell r="K17">
            <v>8</v>
          </cell>
          <cell r="L17">
            <v>8</v>
          </cell>
          <cell r="M17">
            <v>8</v>
          </cell>
          <cell r="N17">
            <v>28.999999999999996</v>
          </cell>
          <cell r="O17">
            <v>48</v>
          </cell>
          <cell r="P17">
            <v>65</v>
          </cell>
          <cell r="Q17">
            <v>94</v>
          </cell>
          <cell r="R17">
            <v>100</v>
          </cell>
          <cell r="S17">
            <v>100</v>
          </cell>
          <cell r="T17">
            <v>100</v>
          </cell>
          <cell r="U17">
            <v>100</v>
          </cell>
          <cell r="V17">
            <v>100</v>
          </cell>
          <cell r="W17">
            <v>100</v>
          </cell>
          <cell r="X17">
            <v>100</v>
          </cell>
          <cell r="Y17" t="str">
            <v/>
          </cell>
        </row>
        <row r="18">
          <cell r="B18" t="str">
            <v>Rond Zand 0/2 (0/1) FF A f3 a CB SA Ecs20</v>
          </cell>
          <cell r="C18">
            <v>0.2</v>
          </cell>
          <cell r="D18">
            <v>0.4</v>
          </cell>
          <cell r="E18">
            <v>1</v>
          </cell>
          <cell r="F18">
            <v>27</v>
          </cell>
          <cell r="G18">
            <v>81</v>
          </cell>
          <cell r="H18">
            <v>95</v>
          </cell>
          <cell r="I18">
            <v>99</v>
          </cell>
          <cell r="J18">
            <v>100</v>
          </cell>
          <cell r="K18">
            <v>100</v>
          </cell>
          <cell r="L18">
            <v>100</v>
          </cell>
          <cell r="M18">
            <v>100</v>
          </cell>
          <cell r="N18">
            <v>100</v>
          </cell>
          <cell r="O18">
            <v>100</v>
          </cell>
          <cell r="P18">
            <v>100</v>
          </cell>
          <cell r="Q18">
            <v>100</v>
          </cell>
          <cell r="R18">
            <v>100</v>
          </cell>
          <cell r="S18">
            <v>100</v>
          </cell>
          <cell r="T18">
            <v>100</v>
          </cell>
          <cell r="U18">
            <v>100</v>
          </cell>
          <cell r="V18">
            <v>100</v>
          </cell>
          <cell r="W18">
            <v>100</v>
          </cell>
          <cell r="X18">
            <v>100</v>
          </cell>
          <cell r="Y18" t="str">
            <v/>
          </cell>
        </row>
        <row r="19">
          <cell r="B19" t="str">
            <v>Rijnzand 0/7/RZ 0/4 CF A f3a</v>
          </cell>
          <cell r="C19">
            <v>0</v>
          </cell>
          <cell r="D19">
            <v>0</v>
          </cell>
          <cell r="E19">
            <v>0.8</v>
          </cell>
          <cell r="F19">
            <v>7.0000000000000009</v>
          </cell>
          <cell r="G19">
            <v>44</v>
          </cell>
          <cell r="H19">
            <v>73</v>
          </cell>
          <cell r="I19">
            <v>85</v>
          </cell>
          <cell r="J19">
            <v>93</v>
          </cell>
          <cell r="K19">
            <v>97</v>
          </cell>
          <cell r="L19">
            <v>100</v>
          </cell>
          <cell r="M19">
            <v>100</v>
          </cell>
          <cell r="N19">
            <v>100</v>
          </cell>
          <cell r="O19">
            <v>100</v>
          </cell>
          <cell r="P19">
            <v>100</v>
          </cell>
          <cell r="Q19">
            <v>100</v>
          </cell>
          <cell r="R19">
            <v>100</v>
          </cell>
          <cell r="S19">
            <v>100</v>
          </cell>
          <cell r="T19">
            <v>100</v>
          </cell>
          <cell r="U19">
            <v>100</v>
          </cell>
          <cell r="V19">
            <v>100</v>
          </cell>
          <cell r="W19">
            <v>100</v>
          </cell>
          <cell r="X19">
            <v>100</v>
          </cell>
          <cell r="Y19" t="str">
            <v/>
          </cell>
        </row>
        <row r="20">
          <cell r="B20" t="str">
            <v>Gebroken Porfiergranulaat 6,3/14 Aa2 I f1 NG</v>
          </cell>
          <cell r="C20">
            <v>0.70000000000000007</v>
          </cell>
          <cell r="D20">
            <v>1</v>
          </cell>
          <cell r="E20">
            <v>1</v>
          </cell>
          <cell r="F20">
            <v>1</v>
          </cell>
          <cell r="G20">
            <v>1</v>
          </cell>
          <cell r="H20">
            <v>1</v>
          </cell>
          <cell r="I20">
            <v>1</v>
          </cell>
          <cell r="J20">
            <v>1</v>
          </cell>
          <cell r="K20">
            <v>5</v>
          </cell>
          <cell r="L20">
            <v>19</v>
          </cell>
          <cell r="M20">
            <v>39</v>
          </cell>
          <cell r="N20">
            <v>69</v>
          </cell>
          <cell r="O20">
            <v>95</v>
          </cell>
          <cell r="P20">
            <v>100</v>
          </cell>
          <cell r="Q20">
            <v>100</v>
          </cell>
          <cell r="R20">
            <v>100</v>
          </cell>
          <cell r="S20">
            <v>100</v>
          </cell>
          <cell r="T20">
            <v>100</v>
          </cell>
          <cell r="U20">
            <v>100</v>
          </cell>
          <cell r="V20">
            <v>100</v>
          </cell>
          <cell r="W20">
            <v>100</v>
          </cell>
          <cell r="X20">
            <v>100</v>
          </cell>
          <cell r="Y20" t="str">
            <v/>
          </cell>
        </row>
        <row r="21">
          <cell r="B21" t="str">
            <v>Glanskies</v>
          </cell>
          <cell r="C21">
            <v>0.5</v>
          </cell>
          <cell r="D21">
            <v>1</v>
          </cell>
          <cell r="E21">
            <v>1</v>
          </cell>
          <cell r="F21">
            <v>1</v>
          </cell>
          <cell r="G21">
            <v>1</v>
          </cell>
          <cell r="H21">
            <v>1</v>
          </cell>
          <cell r="I21">
            <v>1</v>
          </cell>
          <cell r="J21">
            <v>21</v>
          </cell>
          <cell r="K21">
            <v>56.000000000000007</v>
          </cell>
          <cell r="L21">
            <v>85</v>
          </cell>
          <cell r="M21">
            <v>98</v>
          </cell>
          <cell r="N21">
            <v>100</v>
          </cell>
          <cell r="O21">
            <v>100</v>
          </cell>
          <cell r="P21">
            <v>100</v>
          </cell>
          <cell r="Q21">
            <v>100</v>
          </cell>
          <cell r="R21">
            <v>100</v>
          </cell>
          <cell r="S21">
            <v>100</v>
          </cell>
          <cell r="T21">
            <v>100</v>
          </cell>
          <cell r="U21">
            <v>100</v>
          </cell>
          <cell r="V21">
            <v>100</v>
          </cell>
          <cell r="W21">
            <v>100</v>
          </cell>
          <cell r="X21">
            <v>100</v>
          </cell>
          <cell r="Y21" t="str">
            <v/>
          </cell>
        </row>
        <row r="22">
          <cell r="B22" t="str">
            <v>Halfgerold grind 4/16 Cb+ I f0,5 NG gewassen</v>
          </cell>
          <cell r="C22">
            <v>0</v>
          </cell>
          <cell r="D22">
            <v>0.2</v>
          </cell>
          <cell r="E22">
            <v>1</v>
          </cell>
          <cell r="F22">
            <v>1</v>
          </cell>
          <cell r="G22">
            <v>1</v>
          </cell>
          <cell r="H22">
            <v>1</v>
          </cell>
          <cell r="I22">
            <v>1</v>
          </cell>
          <cell r="J22">
            <v>2</v>
          </cell>
          <cell r="K22">
            <v>16</v>
          </cell>
          <cell r="L22">
            <v>37</v>
          </cell>
          <cell r="M22">
            <v>45</v>
          </cell>
          <cell r="N22">
            <v>64</v>
          </cell>
          <cell r="O22">
            <v>88</v>
          </cell>
          <cell r="P22">
            <v>95</v>
          </cell>
          <cell r="Q22">
            <v>99</v>
          </cell>
          <cell r="R22">
            <v>100</v>
          </cell>
          <cell r="S22">
            <v>100</v>
          </cell>
          <cell r="T22">
            <v>100</v>
          </cell>
          <cell r="U22">
            <v>100</v>
          </cell>
          <cell r="V22">
            <v>100</v>
          </cell>
          <cell r="W22">
            <v>100</v>
          </cell>
          <cell r="X22">
            <v>100</v>
          </cell>
          <cell r="Y22" t="str">
            <v/>
          </cell>
        </row>
        <row r="23">
          <cell r="B23" t="str">
            <v>Basalt 8/16</v>
          </cell>
          <cell r="C23">
            <v>0</v>
          </cell>
          <cell r="D23">
            <v>0.5</v>
          </cell>
          <cell r="E23">
            <v>1</v>
          </cell>
          <cell r="F23">
            <v>1</v>
          </cell>
          <cell r="G23">
            <v>1</v>
          </cell>
          <cell r="H23">
            <v>1</v>
          </cell>
          <cell r="I23">
            <v>1</v>
          </cell>
          <cell r="J23">
            <v>1</v>
          </cell>
          <cell r="K23">
            <v>4</v>
          </cell>
          <cell r="L23">
            <v>9</v>
          </cell>
          <cell r="M23">
            <v>32</v>
          </cell>
          <cell r="N23">
            <v>54</v>
          </cell>
          <cell r="O23">
            <v>70</v>
          </cell>
          <cell r="P23">
            <v>99</v>
          </cell>
          <cell r="Q23">
            <v>100</v>
          </cell>
          <cell r="R23">
            <v>100</v>
          </cell>
          <cell r="S23">
            <v>100</v>
          </cell>
          <cell r="T23">
            <v>100</v>
          </cell>
          <cell r="U23">
            <v>100</v>
          </cell>
          <cell r="V23">
            <v>100</v>
          </cell>
          <cell r="W23">
            <v>100</v>
          </cell>
          <cell r="X23">
            <v>100</v>
          </cell>
          <cell r="Y23" t="str">
            <v/>
          </cell>
        </row>
        <row r="24">
          <cell r="B24" t="e">
            <v>#REF!</v>
          </cell>
          <cell r="C24" t="str">
            <v/>
          </cell>
          <cell r="D24" t="str">
            <v/>
          </cell>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row>
        <row r="25">
          <cell r="B25" t="str">
            <v>Haute Marne 8/20 R</v>
          </cell>
          <cell r="C25">
            <v>0</v>
          </cell>
          <cell r="D25">
            <v>0.6</v>
          </cell>
          <cell r="E25">
            <v>0.6</v>
          </cell>
          <cell r="F25">
            <v>1</v>
          </cell>
          <cell r="G25">
            <v>1</v>
          </cell>
          <cell r="H25">
            <v>1</v>
          </cell>
          <cell r="I25">
            <v>1</v>
          </cell>
          <cell r="J25">
            <v>1</v>
          </cell>
          <cell r="K25">
            <v>3</v>
          </cell>
          <cell r="L25">
            <v>8</v>
          </cell>
          <cell r="M25">
            <v>32</v>
          </cell>
          <cell r="N25">
            <v>54</v>
          </cell>
          <cell r="O25">
            <v>70</v>
          </cell>
          <cell r="P25">
            <v>79</v>
          </cell>
          <cell r="Q25">
            <v>96</v>
          </cell>
          <cell r="R25">
            <v>100</v>
          </cell>
          <cell r="S25">
            <v>100</v>
          </cell>
          <cell r="T25">
            <v>100</v>
          </cell>
          <cell r="U25">
            <v>100</v>
          </cell>
          <cell r="V25">
            <v>100</v>
          </cell>
          <cell r="W25">
            <v>100</v>
          </cell>
          <cell r="X25">
            <v>100</v>
          </cell>
          <cell r="Y25" t="str">
            <v/>
          </cell>
        </row>
        <row r="26">
          <cell r="B26" t="str">
            <v>Haute Marne 4/8 R</v>
          </cell>
          <cell r="C26">
            <v>0</v>
          </cell>
          <cell r="D26">
            <v>0.70000000000000007</v>
          </cell>
          <cell r="E26">
            <v>1</v>
          </cell>
          <cell r="F26">
            <v>1</v>
          </cell>
          <cell r="G26">
            <v>1</v>
          </cell>
          <cell r="H26">
            <v>1</v>
          </cell>
          <cell r="I26">
            <v>3</v>
          </cell>
          <cell r="J26">
            <v>5</v>
          </cell>
          <cell r="K26">
            <v>39</v>
          </cell>
          <cell r="L26">
            <v>95</v>
          </cell>
          <cell r="M26">
            <v>100</v>
          </cell>
          <cell r="N26">
            <v>100</v>
          </cell>
          <cell r="O26">
            <v>100</v>
          </cell>
          <cell r="P26">
            <v>100</v>
          </cell>
          <cell r="Q26">
            <v>100</v>
          </cell>
          <cell r="R26">
            <v>100</v>
          </cell>
          <cell r="S26">
            <v>100</v>
          </cell>
          <cell r="T26">
            <v>100</v>
          </cell>
          <cell r="U26">
            <v>100</v>
          </cell>
          <cell r="V26">
            <v>100</v>
          </cell>
          <cell r="W26">
            <v>100</v>
          </cell>
          <cell r="X26">
            <v>100</v>
          </cell>
          <cell r="Y26" t="str">
            <v/>
          </cell>
        </row>
        <row r="27">
          <cell r="B27" t="str">
            <v>uitwas blankenberge B6-B10 66% grind/33% porfier rood</v>
          </cell>
          <cell r="C27" t="str">
            <v/>
          </cell>
          <cell r="D27" t="str">
            <v/>
          </cell>
          <cell r="E27" t="str">
            <v/>
          </cell>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row>
        <row r="28">
          <cell r="B28" t="str">
            <v>uitwas Knokke</v>
          </cell>
          <cell r="C28" t="str">
            <v/>
          </cell>
          <cell r="D28" t="str">
            <v/>
          </cell>
          <cell r="E28" t="str">
            <v/>
          </cell>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row>
        <row r="29">
          <cell r="B29" t="str">
            <v>Mix BF Blankenberge</v>
          </cell>
          <cell r="C29" t="str">
            <v/>
          </cell>
          <cell r="D29" t="str">
            <v/>
          </cell>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row>
        <row r="30">
          <cell r="B30" t="str">
            <v/>
          </cell>
          <cell r="C30" t="str">
            <v/>
          </cell>
          <cell r="D30" t="str">
            <v/>
          </cell>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row>
        <row r="31">
          <cell r="B31" t="str">
            <v>Brekerzand</v>
          </cell>
          <cell r="C31" t="str">
            <v/>
          </cell>
          <cell r="D31" t="str">
            <v/>
          </cell>
          <cell r="E31" t="str">
            <v/>
          </cell>
          <cell r="F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row>
        <row r="32">
          <cell r="B32" t="str">
            <v>betongranulaat 0/20</v>
          </cell>
          <cell r="C32">
            <v>0</v>
          </cell>
          <cell r="D32">
            <v>0.89250000000000007</v>
          </cell>
          <cell r="E32">
            <v>1.1675</v>
          </cell>
          <cell r="F32">
            <v>1.6150000000000002</v>
          </cell>
          <cell r="G32">
            <v>1.9475</v>
          </cell>
          <cell r="H32">
            <v>2.0624999999999996</v>
          </cell>
          <cell r="I32">
            <v>2.165</v>
          </cell>
          <cell r="J32">
            <v>2.2999999999999998</v>
          </cell>
          <cell r="K32">
            <v>3.7625000000000006</v>
          </cell>
          <cell r="L32">
            <v>14.547499999999999</v>
          </cell>
          <cell r="M32">
            <v>33.537499999999994</v>
          </cell>
          <cell r="N32">
            <v>56.844999999999999</v>
          </cell>
          <cell r="O32">
            <v>68.69</v>
          </cell>
          <cell r="P32">
            <v>81.257500000000007</v>
          </cell>
          <cell r="Q32">
            <v>94.967499999999987</v>
          </cell>
          <cell r="R32">
            <v>100</v>
          </cell>
          <cell r="S32">
            <v>100</v>
          </cell>
        </row>
        <row r="33">
          <cell r="B33" t="str">
            <v>Asfalt 0/40</v>
          </cell>
          <cell r="C33" t="str">
            <v/>
          </cell>
          <cell r="D33" t="str">
            <v/>
          </cell>
          <cell r="E33" t="str">
            <v/>
          </cell>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row>
        <row r="34">
          <cell r="B34" t="str">
            <v>Asfalt 0/20</v>
          </cell>
          <cell r="C34" t="str">
            <v/>
          </cell>
          <cell r="D34" t="str">
            <v/>
          </cell>
          <cell r="E34" t="str">
            <v/>
          </cell>
          <cell r="F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row>
        <row r="35">
          <cell r="B35" t="str">
            <v>menggranulaat 0/40</v>
          </cell>
          <cell r="C35" t="str">
            <v/>
          </cell>
          <cell r="D35" t="str">
            <v/>
          </cell>
          <cell r="E35" t="str">
            <v/>
          </cell>
          <cell r="F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row>
        <row r="36">
          <cell r="B36" t="str">
            <v>betongranulaat 0/40</v>
          </cell>
          <cell r="C36" t="str">
            <v/>
          </cell>
          <cell r="D36" t="str">
            <v/>
          </cell>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row>
        <row r="37">
          <cell r="B37" t="str">
            <v/>
          </cell>
          <cell r="C37" t="str">
            <v/>
          </cell>
          <cell r="D37" t="str">
            <v/>
          </cell>
          <cell r="E37" t="str">
            <v/>
          </cell>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row>
        <row r="38">
          <cell r="B38" t="str">
            <v/>
          </cell>
          <cell r="C38" t="str">
            <v/>
          </cell>
          <cell r="D38" t="str">
            <v/>
          </cell>
          <cell r="E38" t="str">
            <v/>
          </cell>
          <cell r="F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row>
        <row r="39">
          <cell r="B39" t="str">
            <v/>
          </cell>
          <cell r="C39" t="str">
            <v/>
          </cell>
          <cell r="D39" t="str">
            <v/>
          </cell>
          <cell r="E39" t="str">
            <v/>
          </cell>
          <cell r="F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row>
        <row r="40">
          <cell r="B40" t="str">
            <v/>
          </cell>
          <cell r="C40" t="str">
            <v/>
          </cell>
          <cell r="D40" t="str">
            <v/>
          </cell>
          <cell r="E40" t="str">
            <v/>
          </cell>
          <cell r="F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row>
        <row r="41">
          <cell r="B41" t="str">
            <v/>
          </cell>
          <cell r="C41" t="str">
            <v/>
          </cell>
          <cell r="D41" t="str">
            <v/>
          </cell>
          <cell r="E41" t="str">
            <v/>
          </cell>
          <cell r="F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row>
        <row r="42">
          <cell r="B42" t="str">
            <v/>
          </cell>
          <cell r="C42" t="str">
            <v/>
          </cell>
          <cell r="D42" t="str">
            <v/>
          </cell>
          <cell r="E42" t="str">
            <v/>
          </cell>
          <cell r="F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row>
        <row r="43">
          <cell r="B43" t="str">
            <v/>
          </cell>
          <cell r="C43" t="str">
            <v/>
          </cell>
          <cell r="D43" t="str">
            <v/>
          </cell>
          <cell r="E43" t="str">
            <v/>
          </cell>
          <cell r="F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row>
        <row r="44">
          <cell r="B44" t="str">
            <v/>
          </cell>
          <cell r="C44" t="str">
            <v/>
          </cell>
          <cell r="D44" t="str">
            <v/>
          </cell>
          <cell r="E44" t="str">
            <v/>
          </cell>
          <cell r="F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row>
        <row r="45">
          <cell r="B45" t="str">
            <v/>
          </cell>
          <cell r="C45" t="str">
            <v/>
          </cell>
          <cell r="D45" t="str">
            <v/>
          </cell>
          <cell r="E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row>
        <row r="46">
          <cell r="B46" t="str">
            <v/>
          </cell>
          <cell r="C46" t="str">
            <v/>
          </cell>
          <cell r="D46" t="str">
            <v/>
          </cell>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row>
        <row r="47">
          <cell r="B47" t="str">
            <v/>
          </cell>
          <cell r="C47" t="str">
            <v/>
          </cell>
          <cell r="D47" t="str">
            <v/>
          </cell>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row>
        <row r="48">
          <cell r="B48" t="str">
            <v/>
          </cell>
          <cell r="C48" t="str">
            <v/>
          </cell>
          <cell r="D48" t="str">
            <v/>
          </cell>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row>
        <row r="49">
          <cell r="B49" t="str">
            <v/>
          </cell>
          <cell r="C49" t="str">
            <v/>
          </cell>
          <cell r="D49" t="str">
            <v/>
          </cell>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row>
        <row r="50">
          <cell r="B50" t="str">
            <v/>
          </cell>
          <cell r="C50" t="str">
            <v/>
          </cell>
          <cell r="D50" t="str">
            <v/>
          </cell>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row>
        <row r="51">
          <cell r="B51" t="str">
            <v/>
          </cell>
          <cell r="C51" t="str">
            <v/>
          </cell>
          <cell r="D51" t="str">
            <v/>
          </cell>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row>
        <row r="52">
          <cell r="B52" t="str">
            <v/>
          </cell>
          <cell r="C52" t="str">
            <v/>
          </cell>
          <cell r="D52" t="str">
            <v/>
          </cell>
          <cell r="E52" t="str">
            <v/>
          </cell>
          <cell r="F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3">
          <cell r="E3" t="str">
            <v>C 8/10</v>
          </cell>
          <cell r="F3">
            <v>10</v>
          </cell>
        </row>
        <row r="4">
          <cell r="E4" t="str">
            <v>C 12/15</v>
          </cell>
          <cell r="F4">
            <v>15</v>
          </cell>
        </row>
        <row r="5">
          <cell r="E5" t="str">
            <v>C 16/20</v>
          </cell>
          <cell r="F5">
            <v>20</v>
          </cell>
        </row>
        <row r="6">
          <cell r="E6" t="str">
            <v>C 20/25</v>
          </cell>
          <cell r="F6">
            <v>25</v>
          </cell>
        </row>
        <row r="7">
          <cell r="E7" t="str">
            <v>C 25/30</v>
          </cell>
          <cell r="F7">
            <v>30</v>
          </cell>
        </row>
        <row r="8">
          <cell r="E8" t="str">
            <v>C 30/37</v>
          </cell>
          <cell r="F8">
            <v>37</v>
          </cell>
        </row>
        <row r="9">
          <cell r="E9" t="str">
            <v>C 35/45</v>
          </cell>
          <cell r="F9">
            <v>45</v>
          </cell>
        </row>
        <row r="10">
          <cell r="E10" t="str">
            <v>C 40/50</v>
          </cell>
          <cell r="F10">
            <v>50</v>
          </cell>
        </row>
        <row r="11">
          <cell r="E11" t="str">
            <v>C 45/55</v>
          </cell>
          <cell r="F11">
            <v>55</v>
          </cell>
        </row>
        <row r="12">
          <cell r="E12" t="str">
            <v>C 50/60</v>
          </cell>
          <cell r="F12">
            <v>60</v>
          </cell>
        </row>
        <row r="13">
          <cell r="E13"/>
          <cell r="F13"/>
          <cell r="T13" t="str">
            <v>S</v>
          </cell>
          <cell r="U13">
            <v>6</v>
          </cell>
        </row>
        <row r="14">
          <cell r="E14" t="str">
            <v>Wm,min 70 MPa</v>
          </cell>
          <cell r="F14">
            <v>55</v>
          </cell>
          <cell r="T14" t="str">
            <v>D</v>
          </cell>
          <cell r="U14">
            <v>8</v>
          </cell>
        </row>
        <row r="15">
          <cell r="E15" t="str">
            <v>Wm,min 62,5 MPa</v>
          </cell>
          <cell r="F15">
            <v>50</v>
          </cell>
        </row>
        <row r="16">
          <cell r="E16" t="str">
            <v>Wm,min 60 MPa</v>
          </cell>
          <cell r="F16">
            <v>45</v>
          </cell>
        </row>
        <row r="17">
          <cell r="E17" t="str">
            <v>Wm,min 52,5 MPa</v>
          </cell>
          <cell r="F17">
            <v>40</v>
          </cell>
        </row>
        <row r="18">
          <cell r="E18" t="str">
            <v>Wm,min 50 MPa</v>
          </cell>
          <cell r="F18">
            <v>40</v>
          </cell>
        </row>
        <row r="19">
          <cell r="E19" t="str">
            <v>Wm,min 42,5 MPa</v>
          </cell>
          <cell r="F19">
            <v>35</v>
          </cell>
        </row>
        <row r="34">
          <cell r="L34" t="str">
            <v>Constructie</v>
          </cell>
          <cell r="M34">
            <v>155</v>
          </cell>
          <cell r="N34">
            <v>165</v>
          </cell>
          <cell r="O34">
            <v>0</v>
          </cell>
          <cell r="P34">
            <v>0</v>
          </cell>
        </row>
        <row r="35">
          <cell r="L35" t="str">
            <v>Constructie pomp</v>
          </cell>
          <cell r="M35">
            <v>165</v>
          </cell>
          <cell r="N35">
            <v>165</v>
          </cell>
          <cell r="O35">
            <v>0</v>
          </cell>
          <cell r="P35">
            <v>0</v>
          </cell>
        </row>
        <row r="36">
          <cell r="L36" t="str">
            <v>Polieren</v>
          </cell>
          <cell r="M36">
            <v>170</v>
          </cell>
          <cell r="N36">
            <v>180</v>
          </cell>
          <cell r="O36">
            <v>0</v>
          </cell>
          <cell r="P36">
            <v>0</v>
          </cell>
        </row>
        <row r="37">
          <cell r="L37" t="str">
            <v>Wand</v>
          </cell>
          <cell r="M37">
            <v>185</v>
          </cell>
          <cell r="N37">
            <v>190</v>
          </cell>
          <cell r="O37">
            <v>330</v>
          </cell>
          <cell r="P37">
            <v>0</v>
          </cell>
        </row>
        <row r="38">
          <cell r="L38" t="str">
            <v>SCC</v>
          </cell>
          <cell r="M38">
            <v>200</v>
          </cell>
          <cell r="N38">
            <v>0</v>
          </cell>
          <cell r="O38">
            <v>0</v>
          </cell>
          <cell r="P38">
            <v>570</v>
          </cell>
        </row>
        <row r="39">
          <cell r="L39" t="str">
            <v>Uitwas</v>
          </cell>
          <cell r="M39">
            <v>170</v>
          </cell>
          <cell r="N39">
            <v>175</v>
          </cell>
          <cell r="O39">
            <v>0</v>
          </cell>
          <cell r="P39">
            <v>0</v>
          </cell>
        </row>
        <row r="40">
          <cell r="L40" t="str">
            <v>Wegenisbeton</v>
          </cell>
          <cell r="M40">
            <v>180</v>
          </cell>
          <cell r="N40">
            <v>175</v>
          </cell>
          <cell r="O40">
            <v>0</v>
          </cell>
          <cell r="P40">
            <v>0</v>
          </cell>
        </row>
        <row r="64">
          <cell r="L64" t="str">
            <v>ideale curve stortbeton</v>
          </cell>
          <cell r="M64">
            <v>0</v>
          </cell>
          <cell r="N64">
            <v>0</v>
          </cell>
          <cell r="O64">
            <v>0.02</v>
          </cell>
          <cell r="P64">
            <v>0.14000000000000001</v>
          </cell>
          <cell r="Q64">
            <v>0.55000000000000004</v>
          </cell>
          <cell r="R64">
            <v>0.75</v>
          </cell>
          <cell r="S64">
            <v>0.89</v>
          </cell>
          <cell r="T64">
            <v>0.95</v>
          </cell>
          <cell r="U64">
            <v>0.98</v>
          </cell>
          <cell r="V64">
            <v>0.99</v>
          </cell>
          <cell r="W64">
            <v>1</v>
          </cell>
          <cell r="X64">
            <v>1</v>
          </cell>
          <cell r="Y64">
            <v>1</v>
          </cell>
          <cell r="Z64">
            <v>1</v>
          </cell>
          <cell r="AA64">
            <v>1</v>
          </cell>
          <cell r="AB64">
            <v>1</v>
          </cell>
          <cell r="AC64">
            <v>1</v>
          </cell>
        </row>
        <row r="65">
          <cell r="L65" t="str">
            <v>ideale curve wegenis</v>
          </cell>
          <cell r="M65">
            <v>0</v>
          </cell>
          <cell r="N65">
            <v>0</v>
          </cell>
          <cell r="O65">
            <v>0.02</v>
          </cell>
          <cell r="P65">
            <v>0.1</v>
          </cell>
          <cell r="Q65">
            <v>0.5</v>
          </cell>
          <cell r="R65">
            <v>0.75</v>
          </cell>
          <cell r="S65">
            <v>0.93</v>
          </cell>
          <cell r="T65">
            <v>0.95</v>
          </cell>
          <cell r="U65">
            <v>0.98</v>
          </cell>
          <cell r="V65">
            <v>0.99</v>
          </cell>
          <cell r="W65">
            <v>1</v>
          </cell>
          <cell r="X65">
            <v>1</v>
          </cell>
          <cell r="Y65">
            <v>1</v>
          </cell>
          <cell r="Z65">
            <v>1</v>
          </cell>
          <cell r="AA65">
            <v>1</v>
          </cell>
          <cell r="AB65">
            <v>1</v>
          </cell>
          <cell r="AC65">
            <v>1</v>
          </cell>
        </row>
        <row r="98">
          <cell r="A98" t="str">
            <v>CEM I 52,5 N - VVM nv. - Gent</v>
          </cell>
          <cell r="B98">
            <v>0.24299999999999999</v>
          </cell>
        </row>
        <row r="99">
          <cell r="A99" t="str">
            <v>CEM III/A 42,5 N LA - VVM nv. - Gent</v>
          </cell>
          <cell r="B99">
            <v>0.26500000000000001</v>
          </cell>
        </row>
        <row r="100">
          <cell r="A100" t="str">
            <v>CEM III/B 42,5 N LH/SR - VVM nv. - Gent</v>
          </cell>
          <cell r="B100">
            <v>0.24299999999999999</v>
          </cell>
        </row>
        <row r="101">
          <cell r="A101" t="str">
            <v>Rond Zand 0/2 (0/1) FF A f3 a CB SA Ecs20</v>
          </cell>
          <cell r="B101">
            <v>0.13500000000000001</v>
          </cell>
        </row>
        <row r="102">
          <cell r="A102" t="str">
            <v>ECO2cem</v>
          </cell>
          <cell r="B102">
            <v>0.25</v>
          </cell>
        </row>
        <row r="103">
          <cell r="A103" t="str">
            <v>kalksteenfiller</v>
          </cell>
          <cell r="B103">
            <v>0.255</v>
          </cell>
        </row>
        <row r="104">
          <cell r="A104" t="str">
            <v>Rond zand 0/4(0/2,5) MF A f3 a CB SA</v>
          </cell>
          <cell r="B104">
            <v>5.7000000000000002E-2</v>
          </cell>
        </row>
        <row r="105">
          <cell r="A105" t="str">
            <v>Rond Zand (0/4) CF A f3 a CB SA gewassen - speciaal</v>
          </cell>
          <cell r="B105">
            <v>5.7000000000000002E-2</v>
          </cell>
        </row>
        <row r="106">
          <cell r="A106" t="str">
            <v>grof gebroken kalksteengranulaat 2/6 Ca4a I f2 NG</v>
          </cell>
          <cell r="B106">
            <v>4.3999999999999997E-2</v>
          </cell>
        </row>
        <row r="107">
          <cell r="A107" t="str">
            <v>grof gebroken kalksteengranulaat 6/14 Ca4a II f1,5 NG</v>
          </cell>
          <cell r="B107">
            <v>0.02</v>
          </cell>
        </row>
        <row r="108">
          <cell r="A108" t="str">
            <v>grof gebroken kalksteengranulaat 6/20 Ca4a II f1,5 NG</v>
          </cell>
          <cell r="B108">
            <v>1.4999999999999999E-2</v>
          </cell>
        </row>
        <row r="109">
          <cell r="A109" t="str">
            <v>Lysit 2/8</v>
          </cell>
          <cell r="B109">
            <v>0.02</v>
          </cell>
        </row>
        <row r="110">
          <cell r="A110" t="str">
            <v>betongranulaat 4/20 mm</v>
          </cell>
          <cell r="B110">
            <v>0.05</v>
          </cell>
        </row>
        <row r="111">
          <cell r="A111" t="str">
            <v>Bavaria 8/11</v>
          </cell>
          <cell r="B111">
            <v>0.02</v>
          </cell>
        </row>
        <row r="112">
          <cell r="A112" t="str">
            <v>Bavaria 11/16</v>
          </cell>
          <cell r="B112">
            <v>0.02</v>
          </cell>
        </row>
        <row r="113">
          <cell r="A113" t="str">
            <v>Basalt 2/8</v>
          </cell>
          <cell r="B113">
            <v>0.02</v>
          </cell>
        </row>
        <row r="114">
          <cell r="A114" t="str">
            <v>Basalt 5/8</v>
          </cell>
          <cell r="B114">
            <v>0.02</v>
          </cell>
        </row>
        <row r="115">
          <cell r="A115" t="str">
            <v>grof gebroken porfiergranulaat 4/6,3 Aa2 I f1 NG</v>
          </cell>
          <cell r="B115">
            <v>2.5000000000000001E-2</v>
          </cell>
        </row>
        <row r="116">
          <cell r="A116" t="str">
            <v>grof gebroken porfiergranulaat 2/20 Aa2 II f1,5 NG</v>
          </cell>
          <cell r="B116">
            <v>1.4999999999999999E-2</v>
          </cell>
        </row>
        <row r="117">
          <cell r="A117" t="str">
            <v>Gebroken Porfiergranulaat 10/20 R</v>
          </cell>
          <cell r="B117">
            <v>1.4999999999999999E-2</v>
          </cell>
        </row>
        <row r="118">
          <cell r="A118" t="str">
            <v>Gebroken Porfiergranulaat 6,3/14 Aa2 I f1 NG</v>
          </cell>
          <cell r="B118">
            <v>0.02</v>
          </cell>
        </row>
        <row r="119">
          <cell r="A119" t="str">
            <v>Glanskies</v>
          </cell>
          <cell r="B119">
            <v>0</v>
          </cell>
        </row>
        <row r="120">
          <cell r="A120" t="str">
            <v>Brekerzand</v>
          </cell>
          <cell r="B120">
            <v>0.14000000000000001</v>
          </cell>
        </row>
        <row r="121">
          <cell r="A121" t="str">
            <v>betongranulaat 0/20</v>
          </cell>
          <cell r="B121">
            <v>8.7999999999999995E-2</v>
          </cell>
        </row>
        <row r="122">
          <cell r="A122"/>
          <cell r="B122" t="e">
            <v>#N/A</v>
          </cell>
        </row>
        <row r="123">
          <cell r="A123"/>
          <cell r="B123" t="e">
            <v>#N/A</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sheetData>
      <sheetData sheetId="20" refreshError="1">
        <row r="43">
          <cell r="K43">
            <v>40</v>
          </cell>
          <cell r="L43">
            <v>100</v>
          </cell>
          <cell r="M43">
            <v>95</v>
          </cell>
          <cell r="N43">
            <v>105</v>
          </cell>
        </row>
        <row r="44">
          <cell r="K44">
            <v>31.5</v>
          </cell>
          <cell r="L44">
            <v>100</v>
          </cell>
          <cell r="M44">
            <v>95</v>
          </cell>
          <cell r="N44">
            <v>105</v>
          </cell>
        </row>
        <row r="45">
          <cell r="K45">
            <v>20</v>
          </cell>
          <cell r="L45">
            <v>100</v>
          </cell>
          <cell r="M45">
            <v>95</v>
          </cell>
          <cell r="N45">
            <v>105</v>
          </cell>
        </row>
        <row r="46">
          <cell r="K46">
            <v>16</v>
          </cell>
          <cell r="L46">
            <v>100</v>
          </cell>
          <cell r="M46">
            <v>95</v>
          </cell>
          <cell r="N46">
            <v>105</v>
          </cell>
        </row>
        <row r="47">
          <cell r="K47">
            <v>14</v>
          </cell>
          <cell r="L47">
            <v>100</v>
          </cell>
          <cell r="M47">
            <v>95</v>
          </cell>
          <cell r="N47">
            <v>105</v>
          </cell>
        </row>
        <row r="48">
          <cell r="K48">
            <v>12.5</v>
          </cell>
          <cell r="L48">
            <v>100</v>
          </cell>
          <cell r="M48">
            <v>95</v>
          </cell>
          <cell r="N48">
            <v>105</v>
          </cell>
        </row>
        <row r="49">
          <cell r="K49">
            <v>10</v>
          </cell>
          <cell r="L49">
            <v>100</v>
          </cell>
          <cell r="M49">
            <v>95</v>
          </cell>
          <cell r="N49">
            <v>105</v>
          </cell>
        </row>
        <row r="50">
          <cell r="K50">
            <v>8</v>
          </cell>
          <cell r="L50">
            <v>100</v>
          </cell>
          <cell r="M50">
            <v>95</v>
          </cell>
          <cell r="N50">
            <v>105</v>
          </cell>
        </row>
        <row r="51">
          <cell r="K51">
            <v>6.3</v>
          </cell>
          <cell r="L51">
            <v>95.41</v>
          </cell>
          <cell r="M51">
            <v>90.999999999999986</v>
          </cell>
          <cell r="N51">
            <v>101</v>
          </cell>
        </row>
        <row r="52">
          <cell r="K52">
            <v>4</v>
          </cell>
          <cell r="L52">
            <v>75.522000000000006</v>
          </cell>
          <cell r="M52">
            <v>68</v>
          </cell>
          <cell r="N52">
            <v>78</v>
          </cell>
        </row>
        <row r="53">
          <cell r="K53">
            <v>2</v>
          </cell>
          <cell r="L53">
            <v>45.22</v>
          </cell>
          <cell r="M53">
            <v>43</v>
          </cell>
          <cell r="N53">
            <v>53</v>
          </cell>
        </row>
        <row r="54">
          <cell r="K54">
            <v>1</v>
          </cell>
          <cell r="L54">
            <v>36.809999999999995</v>
          </cell>
          <cell r="M54">
            <v>35</v>
          </cell>
          <cell r="N54">
            <v>45</v>
          </cell>
        </row>
        <row r="55">
          <cell r="K55">
            <v>0.5</v>
          </cell>
          <cell r="L55">
            <v>28.021000000000001</v>
          </cell>
          <cell r="M55">
            <v>26</v>
          </cell>
          <cell r="N55">
            <v>36</v>
          </cell>
        </row>
        <row r="56">
          <cell r="K56">
            <v>0.25</v>
          </cell>
          <cell r="L56">
            <v>6.9510000000000005</v>
          </cell>
          <cell r="M56">
            <v>5</v>
          </cell>
          <cell r="N56">
            <v>15.000000000000002</v>
          </cell>
        </row>
        <row r="57">
          <cell r="K57">
            <v>0.125</v>
          </cell>
          <cell r="L57">
            <v>2.5410000000000004</v>
          </cell>
          <cell r="M57">
            <v>-4</v>
          </cell>
          <cell r="N57">
            <v>6.0000000000000009</v>
          </cell>
        </row>
        <row r="58">
          <cell r="K58">
            <v>6.3E-2</v>
          </cell>
          <cell r="L58">
            <v>1.4140000000000001</v>
          </cell>
          <cell r="M58">
            <v>-4</v>
          </cell>
          <cell r="N58">
            <v>6.0000000000000009</v>
          </cell>
        </row>
        <row r="59">
          <cell r="K59" t="str">
            <v>Bodem</v>
          </cell>
          <cell r="L59">
            <v>0</v>
          </cell>
          <cell r="M59">
            <v>-5</v>
          </cell>
          <cell r="N59">
            <v>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cement"/>
      <sheetName val="input vulstof"/>
      <sheetName val="input granulaat"/>
      <sheetName val="input hulpstof"/>
      <sheetName val="input andere"/>
      <sheetName val="granulometrie"/>
      <sheetName val="input granulometrie"/>
      <sheetName val="zeefanalyses"/>
      <sheetName val="dosering hulpstoffen"/>
      <sheetName val="detailoverzicht"/>
      <sheetName val="streefwaarde - richtwaarde"/>
      <sheetName val="mengselcatalogus"/>
      <sheetName val="alkalibalans"/>
      <sheetName val="opmerkingen"/>
      <sheetName val="wijzigingen"/>
      <sheetName val="technische fiche"/>
      <sheetName val="prijzen"/>
      <sheetName val="slakgehalte"/>
      <sheetName val="input diverse"/>
      <sheetName val="1"/>
      <sheetName val="2"/>
      <sheetName val="3"/>
      <sheetName val="4"/>
      <sheetName val="5"/>
      <sheetName val="6"/>
      <sheetName val="7"/>
      <sheetName val="8"/>
      <sheetName val="9"/>
      <sheetName val="10"/>
      <sheetName val="11"/>
      <sheetName val="12"/>
      <sheetName val="13"/>
      <sheetName val="14"/>
    </sheetNames>
    <sheetDataSet>
      <sheetData sheetId="0" refreshError="1"/>
      <sheetData sheetId="1" refreshError="1">
        <row r="5">
          <cell r="B5" t="str">
            <v>ECO2cem</v>
          </cell>
          <cell r="C5" t="str">
            <v>ECO2cem</v>
          </cell>
          <cell r="D5" t="str">
            <v>Orcem BV.</v>
          </cell>
          <cell r="E5" t="str">
            <v>Moerdijk</v>
          </cell>
          <cell r="F5">
            <v>2890</v>
          </cell>
          <cell r="H5">
            <v>5.0000000000000001E-4</v>
          </cell>
          <cell r="I5">
            <v>0</v>
          </cell>
          <cell r="J5">
            <v>8.9999999999999993E-3</v>
          </cell>
          <cell r="K5">
            <v>0</v>
          </cell>
          <cell r="M5">
            <v>6.3E-2</v>
          </cell>
          <cell r="N5">
            <v>63</v>
          </cell>
        </row>
        <row r="6">
          <cell r="B6" t="str">
            <v>kalksteenfiller</v>
          </cell>
          <cell r="C6" t="str">
            <v>Calcitec</v>
          </cell>
          <cell r="D6" t="str">
            <v>Carmeuse</v>
          </cell>
          <cell r="E6" t="str">
            <v>Carmeuse</v>
          </cell>
          <cell r="M6" t="str">
            <v/>
          </cell>
        </row>
        <row r="7">
          <cell r="B7" t="str">
            <v/>
          </cell>
          <cell r="M7" t="str">
            <v/>
          </cell>
        </row>
        <row r="8">
          <cell r="B8" t="str">
            <v/>
          </cell>
          <cell r="M8" t="str">
            <v/>
          </cell>
        </row>
        <row r="9">
          <cell r="B9" t="str">
            <v/>
          </cell>
          <cell r="M9" t="str">
            <v/>
          </cell>
        </row>
        <row r="10">
          <cell r="B10" t="str">
            <v/>
          </cell>
          <cell r="M10" t="str">
            <v/>
          </cell>
        </row>
        <row r="11">
          <cell r="B11" t="str">
            <v/>
          </cell>
          <cell r="M11" t="str">
            <v/>
          </cell>
        </row>
        <row r="12">
          <cell r="B12" t="str">
            <v/>
          </cell>
          <cell r="M12" t="str">
            <v/>
          </cell>
        </row>
        <row r="13">
          <cell r="B13" t="str">
            <v/>
          </cell>
          <cell r="M13" t="str">
            <v/>
          </cell>
        </row>
        <row r="14">
          <cell r="B14" t="str">
            <v/>
          </cell>
          <cell r="M14" t="str">
            <v/>
          </cell>
        </row>
        <row r="15">
          <cell r="B15" t="str">
            <v/>
          </cell>
          <cell r="M15" t="str">
            <v/>
          </cell>
        </row>
        <row r="16">
          <cell r="B16" t="str">
            <v/>
          </cell>
          <cell r="M16" t="str">
            <v/>
          </cell>
        </row>
        <row r="17">
          <cell r="B17" t="str">
            <v/>
          </cell>
          <cell r="M17" t="str">
            <v/>
          </cell>
        </row>
        <row r="18">
          <cell r="B18" t="str">
            <v/>
          </cell>
          <cell r="M18" t="str">
            <v/>
          </cell>
        </row>
        <row r="19">
          <cell r="B19" t="str">
            <v/>
          </cell>
          <cell r="M19" t="str">
            <v/>
          </cell>
        </row>
        <row r="20">
          <cell r="B20" t="str">
            <v/>
          </cell>
          <cell r="M20" t="str">
            <v/>
          </cell>
        </row>
        <row r="21">
          <cell r="B21" t="str">
            <v/>
          </cell>
          <cell r="M21" t="str">
            <v/>
          </cell>
        </row>
        <row r="22">
          <cell r="B22" t="str">
            <v/>
          </cell>
          <cell r="M22" t="str">
            <v/>
          </cell>
        </row>
        <row r="23">
          <cell r="B23" t="str">
            <v/>
          </cell>
          <cell r="M23" t="str">
            <v/>
          </cell>
        </row>
        <row r="24">
          <cell r="B24" t="str">
            <v/>
          </cell>
          <cell r="M24" t="str">
            <v/>
          </cell>
        </row>
        <row r="25">
          <cell r="B25" t="str">
            <v/>
          </cell>
          <cell r="M25" t="str">
            <v/>
          </cell>
        </row>
        <row r="26">
          <cell r="B26" t="str">
            <v/>
          </cell>
          <cell r="M26" t="str">
            <v/>
          </cell>
        </row>
        <row r="27">
          <cell r="B27" t="str">
            <v/>
          </cell>
          <cell r="M27" t="str">
            <v/>
          </cell>
        </row>
        <row r="28">
          <cell r="B28" t="str">
            <v/>
          </cell>
          <cell r="M28" t="str">
            <v/>
          </cell>
        </row>
        <row r="29">
          <cell r="B29" t="str">
            <v/>
          </cell>
          <cell r="M29" t="str">
            <v/>
          </cell>
        </row>
        <row r="30">
          <cell r="B30" t="str">
            <v/>
          </cell>
          <cell r="M30" t="str">
            <v/>
          </cell>
        </row>
        <row r="31">
          <cell r="B31" t="str">
            <v/>
          </cell>
          <cell r="M31" t="str">
            <v/>
          </cell>
        </row>
        <row r="32">
          <cell r="B32" t="str">
            <v/>
          </cell>
          <cell r="M32" t="str">
            <v/>
          </cell>
        </row>
        <row r="33">
          <cell r="B33" t="str">
            <v/>
          </cell>
          <cell r="M33" t="str">
            <v/>
          </cell>
        </row>
        <row r="34">
          <cell r="B34" t="str">
            <v/>
          </cell>
          <cell r="M34" t="str">
            <v/>
          </cell>
        </row>
        <row r="35">
          <cell r="B35" t="str">
            <v/>
          </cell>
          <cell r="M35" t="str">
            <v/>
          </cell>
        </row>
        <row r="36">
          <cell r="B36" t="str">
            <v/>
          </cell>
          <cell r="M36" t="str">
            <v/>
          </cell>
        </row>
        <row r="37">
          <cell r="B37" t="str">
            <v/>
          </cell>
          <cell r="M37" t="str">
            <v/>
          </cell>
        </row>
        <row r="38">
          <cell r="B38" t="str">
            <v/>
          </cell>
          <cell r="M38" t="str">
            <v/>
          </cell>
        </row>
        <row r="39">
          <cell r="B39" t="str">
            <v/>
          </cell>
          <cell r="M39" t="str">
            <v/>
          </cell>
        </row>
        <row r="40">
          <cell r="B40" t="str">
            <v/>
          </cell>
          <cell r="M40" t="str">
            <v/>
          </cell>
        </row>
        <row r="41">
          <cell r="B41" t="str">
            <v/>
          </cell>
          <cell r="M41" t="str">
            <v/>
          </cell>
        </row>
        <row r="42">
          <cell r="B42" t="str">
            <v/>
          </cell>
          <cell r="M42" t="str">
            <v/>
          </cell>
        </row>
        <row r="43">
          <cell r="B43" t="str">
            <v/>
          </cell>
          <cell r="M43" t="str">
            <v/>
          </cell>
        </row>
        <row r="44">
          <cell r="B44" t="str">
            <v/>
          </cell>
          <cell r="M44" t="str">
            <v/>
          </cell>
        </row>
        <row r="45">
          <cell r="B45" t="str">
            <v/>
          </cell>
          <cell r="M45" t="str">
            <v/>
          </cell>
        </row>
        <row r="46">
          <cell r="B46" t="str">
            <v/>
          </cell>
          <cell r="M46" t="str">
            <v/>
          </cell>
        </row>
        <row r="47">
          <cell r="B47" t="str">
            <v/>
          </cell>
          <cell r="M47" t="str">
            <v/>
          </cell>
        </row>
        <row r="48">
          <cell r="B48" t="str">
            <v/>
          </cell>
          <cell r="M48" t="str">
            <v/>
          </cell>
        </row>
        <row r="49">
          <cell r="B49" t="str">
            <v/>
          </cell>
          <cell r="M49" t="str">
            <v/>
          </cell>
        </row>
        <row r="50">
          <cell r="B50" t="str">
            <v/>
          </cell>
          <cell r="M50" t="str">
            <v/>
          </cell>
        </row>
        <row r="51">
          <cell r="B51" t="str">
            <v/>
          </cell>
          <cell r="M51" t="str">
            <v/>
          </cell>
        </row>
        <row r="52">
          <cell r="B52" t="str">
            <v/>
          </cell>
          <cell r="M52" t="str">
            <v/>
          </cell>
        </row>
        <row r="53">
          <cell r="B53" t="str">
            <v/>
          </cell>
          <cell r="M53" t="str">
            <v/>
          </cell>
        </row>
      </sheetData>
      <sheetData sheetId="2" refreshError="1"/>
      <sheetData sheetId="3" refreshError="1"/>
      <sheetData sheetId="4" refreshError="1">
        <row r="5">
          <cell r="B5" t="str">
            <v>aanmaakwater - oppervlaktewater</v>
          </cell>
          <cell r="C5" t="str">
            <v>aanmaakwater - oppervlaktewater</v>
          </cell>
          <cell r="D5" t="str">
            <v>AC Materials nv.</v>
          </cell>
          <cell r="F5">
            <v>1000</v>
          </cell>
          <cell r="H5">
            <v>1E-3</v>
          </cell>
          <cell r="I5">
            <v>0</v>
          </cell>
          <cell r="J5">
            <v>1.5E-3</v>
          </cell>
          <cell r="K5">
            <v>0</v>
          </cell>
          <cell r="M5">
            <v>0</v>
          </cell>
          <cell r="N5">
            <v>0</v>
          </cell>
        </row>
        <row r="6">
          <cell r="B6" t="str">
            <v/>
          </cell>
          <cell r="M6" t="str">
            <v/>
          </cell>
        </row>
        <row r="7">
          <cell r="B7" t="str">
            <v/>
          </cell>
          <cell r="M7" t="str">
            <v/>
          </cell>
        </row>
        <row r="8">
          <cell r="B8" t="str">
            <v/>
          </cell>
          <cell r="M8" t="str">
            <v/>
          </cell>
        </row>
        <row r="9">
          <cell r="B9" t="str">
            <v/>
          </cell>
          <cell r="M9" t="str">
            <v/>
          </cell>
        </row>
        <row r="10">
          <cell r="B10" t="str">
            <v/>
          </cell>
          <cell r="M10" t="str">
            <v/>
          </cell>
        </row>
        <row r="11">
          <cell r="B11" t="str">
            <v/>
          </cell>
          <cell r="M11" t="str">
            <v/>
          </cell>
        </row>
        <row r="12">
          <cell r="B12" t="str">
            <v/>
          </cell>
          <cell r="M12" t="str">
            <v/>
          </cell>
        </row>
        <row r="13">
          <cell r="B13" t="str">
            <v/>
          </cell>
          <cell r="M13" t="str">
            <v/>
          </cell>
        </row>
        <row r="14">
          <cell r="B14" t="str">
            <v/>
          </cell>
          <cell r="M14" t="str">
            <v/>
          </cell>
        </row>
        <row r="15">
          <cell r="B15" t="str">
            <v/>
          </cell>
          <cell r="M15" t="str">
            <v/>
          </cell>
        </row>
        <row r="16">
          <cell r="B16" t="str">
            <v/>
          </cell>
          <cell r="M16" t="str">
            <v/>
          </cell>
        </row>
        <row r="17">
          <cell r="B17" t="str">
            <v/>
          </cell>
          <cell r="M17" t="str">
            <v/>
          </cell>
        </row>
        <row r="18">
          <cell r="B18" t="str">
            <v/>
          </cell>
          <cell r="M18" t="str">
            <v/>
          </cell>
        </row>
        <row r="19">
          <cell r="B19" t="str">
            <v/>
          </cell>
          <cell r="M19" t="str">
            <v/>
          </cell>
        </row>
        <row r="20">
          <cell r="B20" t="str">
            <v/>
          </cell>
          <cell r="M20" t="str">
            <v/>
          </cell>
        </row>
        <row r="21">
          <cell r="B21" t="str">
            <v/>
          </cell>
          <cell r="M21" t="str">
            <v/>
          </cell>
        </row>
        <row r="22">
          <cell r="B22" t="str">
            <v/>
          </cell>
          <cell r="M22" t="str">
            <v/>
          </cell>
        </row>
        <row r="23">
          <cell r="B23" t="str">
            <v/>
          </cell>
          <cell r="M23" t="str">
            <v/>
          </cell>
        </row>
        <row r="24">
          <cell r="B24" t="str">
            <v/>
          </cell>
          <cell r="M24" t="str">
            <v/>
          </cell>
        </row>
        <row r="25">
          <cell r="B25" t="str">
            <v/>
          </cell>
          <cell r="M25" t="str">
            <v/>
          </cell>
        </row>
        <row r="26">
          <cell r="B26" t="str">
            <v/>
          </cell>
          <cell r="M26" t="str">
            <v/>
          </cell>
        </row>
        <row r="27">
          <cell r="B27" t="str">
            <v/>
          </cell>
          <cell r="M27" t="str">
            <v/>
          </cell>
        </row>
        <row r="28">
          <cell r="B28" t="str">
            <v/>
          </cell>
          <cell r="M28" t="str">
            <v/>
          </cell>
        </row>
        <row r="29">
          <cell r="B29" t="str">
            <v/>
          </cell>
          <cell r="M29" t="str">
            <v/>
          </cell>
        </row>
        <row r="30">
          <cell r="B30" t="str">
            <v/>
          </cell>
          <cell r="M30" t="str">
            <v/>
          </cell>
        </row>
        <row r="31">
          <cell r="B31" t="str">
            <v/>
          </cell>
          <cell r="M31" t="str">
            <v/>
          </cell>
        </row>
        <row r="32">
          <cell r="B32" t="str">
            <v/>
          </cell>
          <cell r="M32" t="str">
            <v/>
          </cell>
        </row>
        <row r="33">
          <cell r="B33" t="str">
            <v/>
          </cell>
          <cell r="M33" t="str">
            <v/>
          </cell>
        </row>
        <row r="34">
          <cell r="B34" t="str">
            <v/>
          </cell>
          <cell r="M34" t="str">
            <v/>
          </cell>
        </row>
        <row r="35">
          <cell r="B35" t="str">
            <v/>
          </cell>
          <cell r="M35" t="str">
            <v/>
          </cell>
        </row>
        <row r="36">
          <cell r="B36" t="str">
            <v/>
          </cell>
          <cell r="M36" t="str">
            <v/>
          </cell>
        </row>
        <row r="37">
          <cell r="B37" t="str">
            <v/>
          </cell>
          <cell r="M37" t="str">
            <v/>
          </cell>
        </row>
        <row r="38">
          <cell r="B38" t="str">
            <v/>
          </cell>
          <cell r="M38" t="str">
            <v/>
          </cell>
        </row>
        <row r="39">
          <cell r="B39" t="str">
            <v/>
          </cell>
          <cell r="M39" t="str">
            <v/>
          </cell>
        </row>
        <row r="40">
          <cell r="B40" t="str">
            <v/>
          </cell>
          <cell r="M40" t="str">
            <v/>
          </cell>
        </row>
        <row r="41">
          <cell r="B41" t="str">
            <v/>
          </cell>
          <cell r="M41" t="str">
            <v/>
          </cell>
        </row>
        <row r="42">
          <cell r="B42" t="str">
            <v/>
          </cell>
          <cell r="M42" t="str">
            <v/>
          </cell>
        </row>
        <row r="43">
          <cell r="B43" t="str">
            <v/>
          </cell>
          <cell r="M43" t="str">
            <v/>
          </cell>
        </row>
        <row r="44">
          <cell r="B44" t="str">
            <v/>
          </cell>
          <cell r="M44" t="str">
            <v/>
          </cell>
        </row>
        <row r="45">
          <cell r="B45" t="str">
            <v/>
          </cell>
          <cell r="M45" t="str">
            <v/>
          </cell>
        </row>
        <row r="46">
          <cell r="B46" t="str">
            <v/>
          </cell>
          <cell r="M46" t="str">
            <v/>
          </cell>
        </row>
        <row r="47">
          <cell r="B47" t="str">
            <v/>
          </cell>
          <cell r="M47" t="str">
            <v/>
          </cell>
        </row>
        <row r="48">
          <cell r="B48" t="str">
            <v/>
          </cell>
          <cell r="M48" t="str">
            <v/>
          </cell>
        </row>
        <row r="49">
          <cell r="B49" t="str">
            <v/>
          </cell>
          <cell r="M49" t="str">
            <v/>
          </cell>
        </row>
        <row r="50">
          <cell r="B50" t="str">
            <v/>
          </cell>
          <cell r="M50" t="str">
            <v/>
          </cell>
        </row>
        <row r="51">
          <cell r="B51" t="str">
            <v/>
          </cell>
          <cell r="M51" t="str">
            <v/>
          </cell>
        </row>
        <row r="52">
          <cell r="B52" t="str">
            <v/>
          </cell>
          <cell r="M52" t="str">
            <v/>
          </cell>
        </row>
        <row r="53">
          <cell r="B53" t="str">
            <v/>
          </cell>
          <cell r="M53" t="str">
            <v/>
          </cell>
        </row>
      </sheetData>
      <sheetData sheetId="5" refreshError="1">
        <row r="3">
          <cell r="C3" t="str">
            <v>Bodem</v>
          </cell>
          <cell r="D3">
            <v>6.3E-2</v>
          </cell>
          <cell r="E3">
            <v>0.125</v>
          </cell>
          <cell r="F3">
            <v>0.25</v>
          </cell>
          <cell r="G3">
            <v>0.5</v>
          </cell>
          <cell r="H3">
            <v>1</v>
          </cell>
          <cell r="I3">
            <v>2</v>
          </cell>
          <cell r="J3">
            <v>4</v>
          </cell>
          <cell r="K3">
            <v>6.3</v>
          </cell>
          <cell r="L3">
            <v>8</v>
          </cell>
          <cell r="M3">
            <v>10</v>
          </cell>
          <cell r="N3">
            <v>12.5</v>
          </cell>
          <cell r="O3">
            <v>14</v>
          </cell>
          <cell r="P3">
            <v>16</v>
          </cell>
          <cell r="Q3">
            <v>20</v>
          </cell>
          <cell r="R3">
            <v>31.5</v>
          </cell>
          <cell r="S3">
            <v>40</v>
          </cell>
          <cell r="T3">
            <v>0</v>
          </cell>
          <cell r="U3">
            <v>0</v>
          </cell>
          <cell r="V3">
            <v>0</v>
          </cell>
          <cell r="W3">
            <v>0</v>
          </cell>
          <cell r="X3">
            <v>0</v>
          </cell>
        </row>
        <row r="4">
          <cell r="B4" t="str">
            <v>rond zand 0/2 (0/1) MF A f3 a CB SA Ecs20 (NCP)</v>
          </cell>
          <cell r="C4">
            <v>0</v>
          </cell>
          <cell r="D4">
            <v>0.4</v>
          </cell>
          <cell r="E4">
            <v>1</v>
          </cell>
          <cell r="F4">
            <v>28.999999999999996</v>
          </cell>
          <cell r="G4">
            <v>92</v>
          </cell>
          <cell r="H4">
            <v>97</v>
          </cell>
          <cell r="I4">
            <v>99</v>
          </cell>
          <cell r="J4">
            <v>100</v>
          </cell>
          <cell r="K4">
            <v>100</v>
          </cell>
          <cell r="L4">
            <v>100</v>
          </cell>
          <cell r="M4">
            <v>100</v>
          </cell>
          <cell r="N4">
            <v>100</v>
          </cell>
          <cell r="O4">
            <v>100</v>
          </cell>
          <cell r="P4">
            <v>100</v>
          </cell>
          <cell r="Q4">
            <v>100</v>
          </cell>
          <cell r="R4">
            <v>100</v>
          </cell>
          <cell r="S4">
            <v>100</v>
          </cell>
          <cell r="T4">
            <v>100</v>
          </cell>
          <cell r="U4">
            <v>100</v>
          </cell>
          <cell r="V4">
            <v>100</v>
          </cell>
          <cell r="W4">
            <v>100</v>
          </cell>
          <cell r="X4">
            <v>100</v>
          </cell>
        </row>
        <row r="5">
          <cell r="B5" t="str">
            <v>rond zand 0/4 CF A f3 a CB SA (ECP)</v>
          </cell>
          <cell r="C5">
            <v>0</v>
          </cell>
          <cell r="D5">
            <v>1.4000000000000001</v>
          </cell>
          <cell r="E5">
            <v>3</v>
          </cell>
          <cell r="F5">
            <v>18</v>
          </cell>
          <cell r="G5">
            <v>63</v>
          </cell>
          <cell r="H5">
            <v>75</v>
          </cell>
          <cell r="I5">
            <v>83</v>
          </cell>
          <cell r="J5">
            <v>96</v>
          </cell>
          <cell r="K5">
            <v>100</v>
          </cell>
          <cell r="L5">
            <v>100</v>
          </cell>
          <cell r="M5">
            <v>100</v>
          </cell>
          <cell r="N5">
            <v>100</v>
          </cell>
          <cell r="O5">
            <v>100</v>
          </cell>
          <cell r="P5">
            <v>100</v>
          </cell>
          <cell r="Q5">
            <v>100</v>
          </cell>
          <cell r="R5">
            <v>100</v>
          </cell>
          <cell r="S5">
            <v>100</v>
          </cell>
          <cell r="T5">
            <v>100</v>
          </cell>
          <cell r="U5">
            <v>100</v>
          </cell>
          <cell r="V5">
            <v>100</v>
          </cell>
          <cell r="W5">
            <v>100</v>
          </cell>
          <cell r="X5">
            <v>100</v>
          </cell>
        </row>
        <row r="6">
          <cell r="B6" t="str">
            <v>kalksteen zand 0/4 CF A f5 a ECS35 lavé - gewassen</v>
          </cell>
          <cell r="C6">
            <v>0</v>
          </cell>
          <cell r="D6">
            <v>3.3000000000000003</v>
          </cell>
          <cell r="E6">
            <v>7.0000000000000009</v>
          </cell>
          <cell r="F6">
            <v>15</v>
          </cell>
          <cell r="G6">
            <v>30</v>
          </cell>
          <cell r="H6">
            <v>56.000000000000007</v>
          </cell>
          <cell r="I6">
            <v>97</v>
          </cell>
          <cell r="J6">
            <v>100</v>
          </cell>
          <cell r="K6">
            <v>100</v>
          </cell>
          <cell r="L6">
            <v>100</v>
          </cell>
          <cell r="M6">
            <v>100</v>
          </cell>
          <cell r="N6">
            <v>100</v>
          </cell>
          <cell r="O6">
            <v>100</v>
          </cell>
          <cell r="P6">
            <v>100</v>
          </cell>
          <cell r="Q6">
            <v>100</v>
          </cell>
          <cell r="R6">
            <v>100</v>
          </cell>
          <cell r="S6">
            <v>100</v>
          </cell>
          <cell r="T6">
            <v>100</v>
          </cell>
          <cell r="U6">
            <v>100</v>
          </cell>
          <cell r="V6">
            <v>100</v>
          </cell>
          <cell r="W6">
            <v>100</v>
          </cell>
          <cell r="X6">
            <v>100</v>
          </cell>
        </row>
        <row r="7">
          <cell r="B7" t="str">
            <v/>
          </cell>
          <cell r="C7" t="str">
            <v/>
          </cell>
          <cell r="D7" t="str">
            <v/>
          </cell>
          <cell r="E7" t="str">
            <v/>
          </cell>
          <cell r="F7" t="str">
            <v/>
          </cell>
          <cell r="G7" t="str">
            <v/>
          </cell>
          <cell r="H7" t="str">
            <v/>
          </cell>
          <cell r="I7" t="str">
            <v/>
          </cell>
          <cell r="J7" t="str">
            <v/>
          </cell>
          <cell r="K7" t="str">
            <v/>
          </cell>
          <cell r="L7" t="str">
            <v/>
          </cell>
          <cell r="M7" t="str">
            <v/>
          </cell>
          <cell r="N7" t="str">
            <v/>
          </cell>
          <cell r="O7" t="str">
            <v/>
          </cell>
          <cell r="P7" t="str">
            <v/>
          </cell>
          <cell r="Q7" t="str">
            <v/>
          </cell>
          <cell r="R7" t="str">
            <v/>
          </cell>
          <cell r="S7" t="str">
            <v/>
          </cell>
          <cell r="T7" t="str">
            <v/>
          </cell>
          <cell r="U7" t="str">
            <v/>
          </cell>
          <cell r="V7" t="str">
            <v/>
          </cell>
          <cell r="W7" t="str">
            <v/>
          </cell>
          <cell r="X7" t="str">
            <v/>
          </cell>
        </row>
        <row r="8">
          <cell r="B8" t="str">
            <v/>
          </cell>
          <cell r="C8" t="str">
            <v/>
          </cell>
          <cell r="D8" t="str">
            <v/>
          </cell>
          <cell r="E8" t="str">
            <v/>
          </cell>
          <cell r="F8" t="str">
            <v/>
          </cell>
          <cell r="G8" t="str">
            <v/>
          </cell>
          <cell r="H8" t="str">
            <v/>
          </cell>
          <cell r="I8" t="str">
            <v/>
          </cell>
          <cell r="J8" t="str">
            <v/>
          </cell>
          <cell r="K8" t="str">
            <v/>
          </cell>
          <cell r="L8" t="str">
            <v/>
          </cell>
          <cell r="M8" t="str">
            <v/>
          </cell>
          <cell r="N8" t="str">
            <v/>
          </cell>
          <cell r="O8" t="str">
            <v/>
          </cell>
          <cell r="P8" t="str">
            <v/>
          </cell>
          <cell r="Q8" t="str">
            <v/>
          </cell>
          <cell r="R8" t="str">
            <v/>
          </cell>
          <cell r="S8" t="str">
            <v/>
          </cell>
          <cell r="T8" t="str">
            <v/>
          </cell>
          <cell r="U8" t="str">
            <v/>
          </cell>
          <cell r="V8" t="str">
            <v/>
          </cell>
          <cell r="W8" t="str">
            <v/>
          </cell>
          <cell r="X8" t="str">
            <v/>
          </cell>
        </row>
        <row r="9">
          <cell r="B9" t="str">
            <v/>
          </cell>
          <cell r="C9" t="str">
            <v/>
          </cell>
          <cell r="D9" t="str">
            <v/>
          </cell>
          <cell r="E9" t="str">
            <v/>
          </cell>
          <cell r="F9" t="str">
            <v/>
          </cell>
          <cell r="G9" t="str">
            <v/>
          </cell>
          <cell r="H9" t="str">
            <v/>
          </cell>
          <cell r="I9" t="str">
            <v/>
          </cell>
          <cell r="J9" t="str">
            <v/>
          </cell>
          <cell r="K9" t="str">
            <v/>
          </cell>
          <cell r="L9" t="str">
            <v/>
          </cell>
          <cell r="M9" t="str">
            <v/>
          </cell>
          <cell r="N9" t="str">
            <v/>
          </cell>
          <cell r="O9" t="str">
            <v/>
          </cell>
          <cell r="P9" t="str">
            <v/>
          </cell>
          <cell r="Q9" t="str">
            <v/>
          </cell>
          <cell r="R9" t="str">
            <v/>
          </cell>
          <cell r="S9" t="str">
            <v/>
          </cell>
          <cell r="T9" t="str">
            <v/>
          </cell>
          <cell r="U9" t="str">
            <v/>
          </cell>
          <cell r="V9" t="str">
            <v/>
          </cell>
          <cell r="W9" t="str">
            <v/>
          </cell>
          <cell r="X9" t="str">
            <v/>
          </cell>
        </row>
        <row r="10">
          <cell r="B10" t="str">
            <v/>
          </cell>
          <cell r="C10" t="str">
            <v/>
          </cell>
          <cell r="D10" t="str">
            <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cell r="S10" t="str">
            <v/>
          </cell>
          <cell r="T10" t="str">
            <v/>
          </cell>
          <cell r="U10" t="str">
            <v/>
          </cell>
          <cell r="V10" t="str">
            <v/>
          </cell>
          <cell r="W10" t="str">
            <v/>
          </cell>
          <cell r="X10" t="str">
            <v/>
          </cell>
        </row>
        <row r="11">
          <cell r="B11" t="str">
            <v/>
          </cell>
          <cell r="C11" t="str">
            <v/>
          </cell>
          <cell r="D11" t="str">
            <v/>
          </cell>
          <cell r="E11" t="str">
            <v/>
          </cell>
          <cell r="F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cell r="U11" t="str">
            <v/>
          </cell>
          <cell r="V11" t="str">
            <v/>
          </cell>
          <cell r="W11" t="str">
            <v/>
          </cell>
          <cell r="X11" t="str">
            <v/>
          </cell>
        </row>
        <row r="12">
          <cell r="B12" t="str">
            <v>grof gebroken kalksteengranulaat 2/6 Ca4a II f1,5 NG</v>
          </cell>
          <cell r="C12">
            <v>0</v>
          </cell>
          <cell r="D12">
            <v>0.3</v>
          </cell>
          <cell r="E12">
            <v>1</v>
          </cell>
          <cell r="F12">
            <v>2</v>
          </cell>
          <cell r="G12">
            <v>4</v>
          </cell>
          <cell r="H12">
            <v>7.0000000000000009</v>
          </cell>
          <cell r="I12">
            <v>14.000000000000002</v>
          </cell>
          <cell r="J12">
            <v>46</v>
          </cell>
          <cell r="K12">
            <v>90</v>
          </cell>
          <cell r="L12">
            <v>100</v>
          </cell>
          <cell r="M12">
            <v>100</v>
          </cell>
          <cell r="N12">
            <v>100</v>
          </cell>
          <cell r="O12">
            <v>100</v>
          </cell>
          <cell r="P12">
            <v>100</v>
          </cell>
          <cell r="Q12">
            <v>100</v>
          </cell>
          <cell r="R12">
            <v>100</v>
          </cell>
          <cell r="S12">
            <v>100</v>
          </cell>
          <cell r="T12">
            <v>100</v>
          </cell>
          <cell r="U12">
            <v>100</v>
          </cell>
          <cell r="V12">
            <v>100</v>
          </cell>
          <cell r="W12">
            <v>100</v>
          </cell>
          <cell r="X12">
            <v>100</v>
          </cell>
        </row>
        <row r="13">
          <cell r="B13" t="str">
            <v>grof gebroken kalksteengranulaat 6/14 Ca4a II f1,5 NG</v>
          </cell>
          <cell r="C13">
            <v>0</v>
          </cell>
          <cell r="D13">
            <v>0.2</v>
          </cell>
          <cell r="E13">
            <v>0.8</v>
          </cell>
          <cell r="F13">
            <v>1</v>
          </cell>
          <cell r="G13">
            <v>1.3</v>
          </cell>
          <cell r="H13">
            <v>1.5</v>
          </cell>
          <cell r="I13">
            <v>1.7000000000000002</v>
          </cell>
          <cell r="J13">
            <v>1.9</v>
          </cell>
          <cell r="K13">
            <v>2.2999999999999998</v>
          </cell>
          <cell r="L13">
            <v>8.5</v>
          </cell>
          <cell r="M13">
            <v>37.200000000000003</v>
          </cell>
          <cell r="N13">
            <v>80</v>
          </cell>
          <cell r="O13">
            <v>90.7</v>
          </cell>
          <cell r="P13">
            <v>100</v>
          </cell>
          <cell r="Q13">
            <v>100</v>
          </cell>
          <cell r="R13">
            <v>100</v>
          </cell>
          <cell r="S13">
            <v>100</v>
          </cell>
          <cell r="T13">
            <v>100</v>
          </cell>
          <cell r="U13">
            <v>100</v>
          </cell>
          <cell r="V13">
            <v>100</v>
          </cell>
          <cell r="W13">
            <v>100</v>
          </cell>
          <cell r="X13">
            <v>100</v>
          </cell>
        </row>
        <row r="14">
          <cell r="B14" t="str">
            <v>grof gebroken kalksteengranulaat 6/20 Ca4a II f1,5 NG</v>
          </cell>
          <cell r="C14">
            <v>0</v>
          </cell>
          <cell r="D14">
            <v>0.4</v>
          </cell>
          <cell r="E14">
            <v>1</v>
          </cell>
          <cell r="F14">
            <v>1</v>
          </cell>
          <cell r="G14">
            <v>1</v>
          </cell>
          <cell r="H14">
            <v>1</v>
          </cell>
          <cell r="I14">
            <v>2</v>
          </cell>
          <cell r="J14">
            <v>2</v>
          </cell>
          <cell r="K14">
            <v>5</v>
          </cell>
          <cell r="L14">
            <v>13</v>
          </cell>
          <cell r="M14">
            <v>28.000000000000004</v>
          </cell>
          <cell r="N14">
            <v>50</v>
          </cell>
          <cell r="O14">
            <v>60</v>
          </cell>
          <cell r="P14">
            <v>75</v>
          </cell>
          <cell r="Q14">
            <v>95</v>
          </cell>
          <cell r="R14">
            <v>100</v>
          </cell>
          <cell r="S14">
            <v>100</v>
          </cell>
          <cell r="T14">
            <v>100</v>
          </cell>
          <cell r="U14">
            <v>100</v>
          </cell>
          <cell r="V14">
            <v>100</v>
          </cell>
          <cell r="W14">
            <v>100</v>
          </cell>
          <cell r="X14">
            <v>100</v>
          </cell>
        </row>
        <row r="15">
          <cell r="B15" t="str">
            <v>grof gebroken porfiergranulaat 4/6,3 Aa2 I f2 NG</v>
          </cell>
          <cell r="C15">
            <v>0</v>
          </cell>
          <cell r="D15">
            <v>1.0999999999999999</v>
          </cell>
          <cell r="E15">
            <v>0</v>
          </cell>
          <cell r="F15">
            <v>0</v>
          </cell>
          <cell r="G15">
            <v>0</v>
          </cell>
          <cell r="H15">
            <v>0</v>
          </cell>
          <cell r="I15">
            <v>1</v>
          </cell>
          <cell r="J15">
            <v>14.000000000000002</v>
          </cell>
          <cell r="K15">
            <v>91</v>
          </cell>
          <cell r="L15">
            <v>100</v>
          </cell>
          <cell r="M15">
            <v>100</v>
          </cell>
          <cell r="N15">
            <v>100</v>
          </cell>
          <cell r="O15">
            <v>100</v>
          </cell>
          <cell r="P15">
            <v>100</v>
          </cell>
          <cell r="Q15">
            <v>100</v>
          </cell>
          <cell r="R15">
            <v>100</v>
          </cell>
          <cell r="S15">
            <v>100</v>
          </cell>
          <cell r="T15">
            <v>100</v>
          </cell>
          <cell r="U15">
            <v>100</v>
          </cell>
          <cell r="V15">
            <v>100</v>
          </cell>
          <cell r="W15">
            <v>100</v>
          </cell>
          <cell r="X15">
            <v>100</v>
          </cell>
        </row>
        <row r="16">
          <cell r="B16" t="str">
            <v>grof gebroken porfiergranulaat 2/20 Aa2 II f1,5 NG</v>
          </cell>
          <cell r="C16">
            <v>0</v>
          </cell>
          <cell r="D16">
            <v>1.2</v>
          </cell>
          <cell r="E16">
            <v>0</v>
          </cell>
          <cell r="F16">
            <v>0</v>
          </cell>
          <cell r="G16">
            <v>0</v>
          </cell>
          <cell r="H16">
            <v>2</v>
          </cell>
          <cell r="I16">
            <v>2</v>
          </cell>
          <cell r="J16">
            <v>9</v>
          </cell>
          <cell r="K16">
            <v>14.000000000000002</v>
          </cell>
          <cell r="L16">
            <v>28.999999999999996</v>
          </cell>
          <cell r="M16">
            <v>32</v>
          </cell>
          <cell r="N16">
            <v>36</v>
          </cell>
          <cell r="O16">
            <v>41</v>
          </cell>
          <cell r="P16">
            <v>75</v>
          </cell>
          <cell r="Q16">
            <v>97</v>
          </cell>
          <cell r="R16">
            <v>100</v>
          </cell>
          <cell r="S16">
            <v>100</v>
          </cell>
          <cell r="T16">
            <v>100</v>
          </cell>
          <cell r="U16">
            <v>100</v>
          </cell>
          <cell r="V16">
            <v>100</v>
          </cell>
          <cell r="W16">
            <v>100</v>
          </cell>
          <cell r="X16">
            <v>100</v>
          </cell>
        </row>
        <row r="17">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row>
        <row r="18">
          <cell r="B18" t="str">
            <v/>
          </cell>
          <cell r="C18" t="str">
            <v/>
          </cell>
          <cell r="D18" t="str">
            <v/>
          </cell>
          <cell r="E18" t="str">
            <v/>
          </cell>
          <cell r="F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row>
        <row r="19">
          <cell r="B19" t="str">
            <v/>
          </cell>
          <cell r="C19" t="str">
            <v/>
          </cell>
          <cell r="D19" t="str">
            <v/>
          </cell>
          <cell r="E19" t="str">
            <v/>
          </cell>
          <cell r="F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row>
        <row r="20">
          <cell r="B20" t="str">
            <v/>
          </cell>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row>
        <row r="21">
          <cell r="B21" t="str">
            <v>half gerold grind 4/16 Bc4 I f0,5 CB SA NG PSV NPD (EPC)</v>
          </cell>
          <cell r="C21">
            <v>0</v>
          </cell>
          <cell r="D21">
            <v>0.2</v>
          </cell>
          <cell r="E21">
            <v>0</v>
          </cell>
          <cell r="F21">
            <v>0</v>
          </cell>
          <cell r="G21">
            <v>0</v>
          </cell>
          <cell r="H21">
            <v>0</v>
          </cell>
          <cell r="I21">
            <v>0</v>
          </cell>
          <cell r="J21">
            <v>1</v>
          </cell>
          <cell r="K21">
            <v>18</v>
          </cell>
          <cell r="L21">
            <v>33</v>
          </cell>
          <cell r="M21">
            <v>40</v>
          </cell>
          <cell r="N21">
            <v>57.999999999999993</v>
          </cell>
          <cell r="O21">
            <v>72</v>
          </cell>
          <cell r="P21">
            <v>96</v>
          </cell>
          <cell r="Q21">
            <v>100</v>
          </cell>
          <cell r="R21">
            <v>100</v>
          </cell>
          <cell r="S21">
            <v>100</v>
          </cell>
          <cell r="T21">
            <v>100</v>
          </cell>
          <cell r="U21">
            <v>100</v>
          </cell>
          <cell r="V21">
            <v>100</v>
          </cell>
          <cell r="W21">
            <v>100</v>
          </cell>
          <cell r="X21">
            <v>100</v>
          </cell>
        </row>
        <row r="22">
          <cell r="B22" t="str">
            <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row>
        <row r="23">
          <cell r="B23" t="str">
            <v/>
          </cell>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row>
        <row r="24">
          <cell r="B24" t="str">
            <v/>
          </cell>
          <cell r="C24" t="str">
            <v/>
          </cell>
          <cell r="D24" t="str">
            <v/>
          </cell>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row>
        <row r="25">
          <cell r="B25" t="str">
            <v/>
          </cell>
          <cell r="C25" t="str">
            <v/>
          </cell>
          <cell r="D25" t="str">
            <v/>
          </cell>
          <cell r="E25" t="str">
            <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row>
        <row r="26">
          <cell r="B26" t="str">
            <v/>
          </cell>
          <cell r="C26" t="str">
            <v/>
          </cell>
          <cell r="D26" t="str">
            <v/>
          </cell>
          <cell r="E26" t="str">
            <v/>
          </cell>
          <cell r="F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row>
        <row r="27">
          <cell r="B27" t="str">
            <v/>
          </cell>
          <cell r="C27" t="str">
            <v/>
          </cell>
          <cell r="D27" t="str">
            <v/>
          </cell>
          <cell r="E27" t="str">
            <v/>
          </cell>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row>
        <row r="28">
          <cell r="B28" t="str">
            <v/>
          </cell>
          <cell r="C28" t="str">
            <v/>
          </cell>
          <cell r="D28" t="str">
            <v/>
          </cell>
          <cell r="E28" t="str">
            <v/>
          </cell>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row>
        <row r="29">
          <cell r="B29" t="str">
            <v/>
          </cell>
          <cell r="C29" t="str">
            <v/>
          </cell>
          <cell r="D29" t="str">
            <v/>
          </cell>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row>
        <row r="30">
          <cell r="B30" t="str">
            <v/>
          </cell>
          <cell r="C30" t="str">
            <v/>
          </cell>
          <cell r="D30" t="str">
            <v/>
          </cell>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row>
        <row r="31">
          <cell r="B31" t="str">
            <v/>
          </cell>
          <cell r="C31" t="str">
            <v/>
          </cell>
          <cell r="D31" t="str">
            <v/>
          </cell>
          <cell r="E31" t="str">
            <v/>
          </cell>
          <cell r="F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row>
        <row r="32">
          <cell r="B32" t="str">
            <v>hoogwaardig betongranulaat 4/22,4</v>
          </cell>
          <cell r="C32">
            <v>0</v>
          </cell>
          <cell r="D32">
            <v>0.89250000000000007</v>
          </cell>
          <cell r="E32">
            <v>1.1675</v>
          </cell>
          <cell r="F32">
            <v>1.6150000000000002</v>
          </cell>
          <cell r="G32">
            <v>1.9475</v>
          </cell>
          <cell r="H32">
            <v>2.0624999999999996</v>
          </cell>
          <cell r="I32">
            <v>2.165</v>
          </cell>
          <cell r="J32">
            <v>2.2999999999999998</v>
          </cell>
          <cell r="K32">
            <v>3.7625000000000006</v>
          </cell>
          <cell r="L32">
            <v>14.547499999999999</v>
          </cell>
          <cell r="M32">
            <v>33.537499999999994</v>
          </cell>
          <cell r="N32">
            <v>56.844999999999999</v>
          </cell>
          <cell r="O32">
            <v>68.69</v>
          </cell>
          <cell r="P32">
            <v>81.257500000000007</v>
          </cell>
          <cell r="Q32">
            <v>94.967499999999987</v>
          </cell>
          <cell r="R32">
            <v>100</v>
          </cell>
          <cell r="S32">
            <v>100</v>
          </cell>
          <cell r="T32">
            <v>100</v>
          </cell>
          <cell r="U32">
            <v>100</v>
          </cell>
          <cell r="V32">
            <v>100</v>
          </cell>
          <cell r="W32">
            <v>100</v>
          </cell>
          <cell r="X32">
            <v>100</v>
          </cell>
        </row>
        <row r="33">
          <cell r="B33" t="str">
            <v/>
          </cell>
          <cell r="C33" t="str">
            <v/>
          </cell>
          <cell r="D33" t="str">
            <v/>
          </cell>
          <cell r="E33" t="str">
            <v/>
          </cell>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cell r="X33" t="str">
            <v/>
          </cell>
        </row>
        <row r="34">
          <cell r="B34" t="str">
            <v/>
          </cell>
          <cell r="C34" t="str">
            <v/>
          </cell>
          <cell r="D34" t="str">
            <v/>
          </cell>
          <cell r="E34" t="str">
            <v/>
          </cell>
          <cell r="F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row>
        <row r="35">
          <cell r="B35" t="str">
            <v/>
          </cell>
          <cell r="C35" t="str">
            <v/>
          </cell>
          <cell r="D35" t="str">
            <v/>
          </cell>
          <cell r="E35" t="str">
            <v/>
          </cell>
          <cell r="F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row>
        <row r="36">
          <cell r="B36" t="str">
            <v/>
          </cell>
          <cell r="C36" t="str">
            <v/>
          </cell>
          <cell r="D36" t="str">
            <v/>
          </cell>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row>
        <row r="37">
          <cell r="B37" t="str">
            <v/>
          </cell>
          <cell r="C37" t="str">
            <v/>
          </cell>
          <cell r="D37" t="str">
            <v/>
          </cell>
          <cell r="E37" t="str">
            <v/>
          </cell>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row>
        <row r="38">
          <cell r="B38" t="str">
            <v/>
          </cell>
          <cell r="C38" t="str">
            <v/>
          </cell>
          <cell r="D38" t="str">
            <v/>
          </cell>
          <cell r="E38" t="str">
            <v/>
          </cell>
          <cell r="F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row>
        <row r="39">
          <cell r="B39" t="str">
            <v/>
          </cell>
          <cell r="C39" t="str">
            <v/>
          </cell>
          <cell r="D39" t="str">
            <v/>
          </cell>
          <cell r="E39" t="str">
            <v/>
          </cell>
          <cell r="F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row>
        <row r="40">
          <cell r="B40" t="str">
            <v/>
          </cell>
          <cell r="C40" t="str">
            <v/>
          </cell>
          <cell r="D40" t="str">
            <v/>
          </cell>
          <cell r="E40" t="str">
            <v/>
          </cell>
          <cell r="F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row>
        <row r="41">
          <cell r="B41" t="str">
            <v/>
          </cell>
          <cell r="C41" t="str">
            <v/>
          </cell>
          <cell r="D41" t="str">
            <v/>
          </cell>
          <cell r="E41" t="str">
            <v/>
          </cell>
          <cell r="F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row>
        <row r="42">
          <cell r="B42" t="str">
            <v/>
          </cell>
          <cell r="C42" t="str">
            <v/>
          </cell>
          <cell r="D42" t="str">
            <v/>
          </cell>
          <cell r="E42" t="str">
            <v/>
          </cell>
          <cell r="F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row>
        <row r="43">
          <cell r="B43" t="str">
            <v/>
          </cell>
          <cell r="C43" t="str">
            <v/>
          </cell>
          <cell r="D43" t="str">
            <v/>
          </cell>
          <cell r="E43" t="str">
            <v/>
          </cell>
          <cell r="F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row>
        <row r="44">
          <cell r="B44" t="str">
            <v/>
          </cell>
          <cell r="C44" t="str">
            <v/>
          </cell>
          <cell r="D44" t="str">
            <v/>
          </cell>
          <cell r="E44" t="str">
            <v/>
          </cell>
          <cell r="F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row>
        <row r="45">
          <cell r="B45" t="str">
            <v/>
          </cell>
          <cell r="C45" t="str">
            <v/>
          </cell>
          <cell r="D45" t="str">
            <v/>
          </cell>
          <cell r="E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row>
        <row r="46">
          <cell r="B46" t="str">
            <v/>
          </cell>
          <cell r="C46" t="str">
            <v/>
          </cell>
          <cell r="D46" t="str">
            <v/>
          </cell>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row>
        <row r="47">
          <cell r="B47" t="str">
            <v/>
          </cell>
          <cell r="C47" t="str">
            <v/>
          </cell>
          <cell r="D47" t="str">
            <v/>
          </cell>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row>
        <row r="48">
          <cell r="B48" t="str">
            <v/>
          </cell>
          <cell r="C48" t="str">
            <v/>
          </cell>
          <cell r="D48" t="str">
            <v/>
          </cell>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row>
        <row r="49">
          <cell r="B49" t="str">
            <v/>
          </cell>
          <cell r="C49" t="str">
            <v/>
          </cell>
          <cell r="D49" t="str">
            <v/>
          </cell>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row>
        <row r="50">
          <cell r="B50" t="str">
            <v/>
          </cell>
          <cell r="C50" t="str">
            <v/>
          </cell>
          <cell r="D50" t="str">
            <v/>
          </cell>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row>
        <row r="51">
          <cell r="B51" t="str">
            <v/>
          </cell>
          <cell r="C51" t="str">
            <v/>
          </cell>
          <cell r="D51" t="str">
            <v/>
          </cell>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row>
        <row r="52">
          <cell r="B52" t="str">
            <v/>
          </cell>
          <cell r="C52" t="str">
            <v/>
          </cell>
          <cell r="D52" t="str">
            <v/>
          </cell>
          <cell r="E52" t="str">
            <v/>
          </cell>
          <cell r="F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cell r="T52" t="str">
            <v/>
          </cell>
          <cell r="U52" t="str">
            <v/>
          </cell>
          <cell r="V52" t="str">
            <v/>
          </cell>
          <cell r="W52" t="str">
            <v/>
          </cell>
          <cell r="X52" t="str">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
          <cell r="E3" t="str">
            <v>C 8/10</v>
          </cell>
          <cell r="I3" t="str">
            <v>E0*</v>
          </cell>
          <cell r="J3" t="str">
            <v>T (1,00)</v>
          </cell>
          <cell r="K3" t="str">
            <v>AR 1</v>
          </cell>
          <cell r="Q3" t="str">
            <v>0/10</v>
          </cell>
        </row>
        <row r="4">
          <cell r="I4" t="str">
            <v>EI*</v>
          </cell>
          <cell r="J4" t="str">
            <v>T (1,00)</v>
          </cell>
          <cell r="K4" t="str">
            <v>AR 1</v>
          </cell>
          <cell r="Q4" t="str">
            <v>0/20</v>
          </cell>
        </row>
        <row r="5">
          <cell r="I5" t="str">
            <v>EE1*</v>
          </cell>
          <cell r="J5" t="str">
            <v>T (1,00)</v>
          </cell>
          <cell r="K5" t="str">
            <v>AR 2</v>
          </cell>
          <cell r="Q5" t="str">
            <v>0/4</v>
          </cell>
        </row>
        <row r="6">
          <cell r="I6" t="str">
            <v>EE2*</v>
          </cell>
          <cell r="J6" t="str">
            <v>T (0,55)</v>
          </cell>
          <cell r="K6" t="str">
            <v>AR 2</v>
          </cell>
          <cell r="Q6" t="str">
            <v>D10</v>
          </cell>
          <cell r="R6">
            <v>37</v>
          </cell>
        </row>
        <row r="7">
          <cell r="I7" t="str">
            <v>EE3*</v>
          </cell>
          <cell r="J7" t="str">
            <v>T (0,50)</v>
          </cell>
          <cell r="K7" t="str">
            <v>AR 2</v>
          </cell>
          <cell r="Q7" t="str">
            <v>D12</v>
          </cell>
          <cell r="R7">
            <v>35</v>
          </cell>
        </row>
        <row r="8">
          <cell r="I8" t="str">
            <v>EE4*</v>
          </cell>
          <cell r="J8" t="str">
            <v>T (0,45)</v>
          </cell>
          <cell r="K8" t="str">
            <v>AR 3</v>
          </cell>
          <cell r="Q8" t="str">
            <v>D14</v>
          </cell>
          <cell r="R8">
            <v>35</v>
          </cell>
        </row>
        <row r="9">
          <cell r="I9" t="str">
            <v>ES1*</v>
          </cell>
          <cell r="J9" t="str">
            <v>T (0,60)</v>
          </cell>
          <cell r="K9" t="str">
            <v>AR 2</v>
          </cell>
          <cell r="Q9" t="str">
            <v>D16</v>
          </cell>
          <cell r="R9">
            <v>34</v>
          </cell>
        </row>
        <row r="10">
          <cell r="I10" t="str">
            <v>ES2*</v>
          </cell>
          <cell r="J10" t="str">
            <v>T (0,50)</v>
          </cell>
          <cell r="K10" t="str">
            <v>AR 2</v>
          </cell>
          <cell r="Q10" t="str">
            <v>D16/22</v>
          </cell>
          <cell r="R10">
            <v>34</v>
          </cell>
        </row>
        <row r="11">
          <cell r="I11" t="str">
            <v>ES3*</v>
          </cell>
          <cell r="J11" t="str">
            <v>T (0,55)</v>
          </cell>
          <cell r="K11" t="str">
            <v>AR 2</v>
          </cell>
          <cell r="Q11" t="str">
            <v>D20</v>
          </cell>
          <cell r="R11">
            <v>34</v>
          </cell>
        </row>
        <row r="12">
          <cell r="I12" t="str">
            <v>ES4*</v>
          </cell>
          <cell r="J12" t="str">
            <v>T (0,45)</v>
          </cell>
          <cell r="K12" t="str">
            <v>AR 3</v>
          </cell>
          <cell r="Q12" t="str">
            <v>D22</v>
          </cell>
          <cell r="R12">
            <v>34</v>
          </cell>
        </row>
        <row r="13">
          <cell r="I13" t="str">
            <v>EA1*</v>
          </cell>
          <cell r="J13" t="str">
            <v>T (0,55)</v>
          </cell>
          <cell r="K13" t="str">
            <v>AR 2</v>
          </cell>
          <cell r="Q13" t="str">
            <v>D32</v>
          </cell>
          <cell r="R13">
            <v>31</v>
          </cell>
        </row>
        <row r="14">
          <cell r="I14" t="str">
            <v>EA2*</v>
          </cell>
          <cell r="J14" t="str">
            <v>T (0,50)</v>
          </cell>
          <cell r="K14" t="str">
            <v>AR 2</v>
          </cell>
          <cell r="Q14" t="str">
            <v>D6</v>
          </cell>
          <cell r="R14">
            <v>37</v>
          </cell>
        </row>
        <row r="15">
          <cell r="I15" t="str">
            <v>EA3*</v>
          </cell>
          <cell r="J15" t="str">
            <v>T (0,45)</v>
          </cell>
          <cell r="K15" t="str">
            <v>AR 2</v>
          </cell>
          <cell r="Q15" t="str">
            <v>D8</v>
          </cell>
          <cell r="R15">
            <v>37</v>
          </cell>
        </row>
        <row r="16">
          <cell r="I16" t="str">
            <v>EI</v>
          </cell>
          <cell r="J16" t="str">
            <v>T (0,65)</v>
          </cell>
          <cell r="K16" t="str">
            <v>AR 1</v>
          </cell>
        </row>
        <row r="17">
          <cell r="I17" t="str">
            <v>EE1</v>
          </cell>
          <cell r="J17" t="str">
            <v>T (0,60)</v>
          </cell>
          <cell r="K17" t="str">
            <v>AR 2</v>
          </cell>
        </row>
        <row r="18">
          <cell r="I18" t="str">
            <v xml:space="preserve">EE2 </v>
          </cell>
          <cell r="J18" t="str">
            <v>T (0,55)</v>
          </cell>
          <cell r="K18" t="str">
            <v>AR 2</v>
          </cell>
        </row>
        <row r="19">
          <cell r="I19" t="str">
            <v xml:space="preserve">EE3 </v>
          </cell>
          <cell r="J19" t="str">
            <v>T (0,50)</v>
          </cell>
          <cell r="K19" t="str">
            <v>AR 2</v>
          </cell>
        </row>
        <row r="20">
          <cell r="I20" t="str">
            <v>EE4</v>
          </cell>
          <cell r="J20" t="str">
            <v>T (0,45)</v>
          </cell>
          <cell r="K20" t="str">
            <v>AR 3</v>
          </cell>
        </row>
        <row r="21">
          <cell r="I21" t="str">
            <v>ES1</v>
          </cell>
          <cell r="J21" t="str">
            <v>T (0,50)</v>
          </cell>
          <cell r="K21" t="str">
            <v>AR 2</v>
          </cell>
        </row>
        <row r="22">
          <cell r="I22" t="str">
            <v>ES2</v>
          </cell>
          <cell r="J22" t="str">
            <v>T (0,50)</v>
          </cell>
          <cell r="K22" t="str">
            <v>AR 2</v>
          </cell>
        </row>
        <row r="23">
          <cell r="I23" t="str">
            <v>ES3</v>
          </cell>
          <cell r="J23" t="str">
            <v>T (0,45)</v>
          </cell>
          <cell r="K23" t="str">
            <v>AR 2</v>
          </cell>
        </row>
        <row r="24">
          <cell r="I24" t="str">
            <v>ES4</v>
          </cell>
          <cell r="J24" t="str">
            <v>T (0,45)</v>
          </cell>
          <cell r="K24" t="str">
            <v>AR 3</v>
          </cell>
        </row>
        <row r="25">
          <cell r="I25" t="str">
            <v>EA1</v>
          </cell>
          <cell r="J25" t="str">
            <v>T (0,55)</v>
          </cell>
          <cell r="K25" t="str">
            <v>AR 2</v>
          </cell>
        </row>
        <row r="26">
          <cell r="I26" t="str">
            <v>EA2</v>
          </cell>
          <cell r="J26" t="str">
            <v>T (0,50)</v>
          </cell>
          <cell r="K26" t="str">
            <v>AR 2</v>
          </cell>
        </row>
        <row r="27">
          <cell r="I27" t="str">
            <v>EA3</v>
          </cell>
          <cell r="J27" t="str">
            <v>T (0,45)</v>
          </cell>
          <cell r="K27" t="str">
            <v>AR 2</v>
          </cell>
        </row>
        <row r="98">
          <cell r="A98" t="str">
            <v>CEM III/A 42,5 N LA - CCB nv. - Guarain-Ramecroix</v>
          </cell>
          <cell r="B98">
            <v>0.29599999999999999</v>
          </cell>
        </row>
        <row r="99">
          <cell r="A99" t="str">
            <v>CEM I 52,5 R HES - CBR nv. - Gent</v>
          </cell>
          <cell r="B99">
            <v>0.33</v>
          </cell>
        </row>
        <row r="100">
          <cell r="A100" t="str">
            <v>CEM III/A 42,5 LA - CBR nv. - Gent</v>
          </cell>
          <cell r="B100">
            <v>0.29599999999999999</v>
          </cell>
        </row>
        <row r="101">
          <cell r="A101" t="str">
            <v>CEM III/B 42,5 N LH/SR - CBR nv. - Gent</v>
          </cell>
          <cell r="B101">
            <v>0.29799999999999999</v>
          </cell>
        </row>
        <row r="102">
          <cell r="A102" t="str">
            <v>ECO2cem</v>
          </cell>
          <cell r="B102">
            <v>0.25</v>
          </cell>
        </row>
        <row r="103">
          <cell r="A103" t="str">
            <v>kalksteenfiller</v>
          </cell>
          <cell r="B103">
            <v>0.22500000000000001</v>
          </cell>
        </row>
        <row r="104">
          <cell r="A104" t="str">
            <v>rond zand 0/2 (0/1) MF A f3 a CB SA Ecs20 (NCP)</v>
          </cell>
          <cell r="B104">
            <v>7.0000000000000007E-2</v>
          </cell>
        </row>
        <row r="105">
          <cell r="A105" t="str">
            <v>rond zand 0/4 CF A f3 a CB SA (ECP)</v>
          </cell>
          <cell r="B105">
            <v>0.04</v>
          </cell>
        </row>
        <row r="106">
          <cell r="A106" t="str">
            <v>kalksteen zand 0/4 CF A f5 a ECS35 lavé - gewassen</v>
          </cell>
          <cell r="B106">
            <v>0.06</v>
          </cell>
        </row>
        <row r="112">
          <cell r="A112" t="str">
            <v>grof gebroken kalksteengranulaat 2/6 Ca4a II f1,5 NG</v>
          </cell>
          <cell r="B112">
            <v>2.5000000000000001E-2</v>
          </cell>
        </row>
        <row r="113">
          <cell r="A113" t="str">
            <v>grof gebroken kalksteengranulaat 6/14 Ca4a II f1,5 NG</v>
          </cell>
          <cell r="B113">
            <v>0.02</v>
          </cell>
        </row>
        <row r="114">
          <cell r="A114" t="str">
            <v>grof gebroken kalksteengranulaat 6/20 Ca4a II f1,5 NG</v>
          </cell>
          <cell r="B114">
            <v>1.4999999999999999E-2</v>
          </cell>
        </row>
        <row r="115">
          <cell r="A115" t="str">
            <v>grof gebroken porfiergranulaat 4/6,3 Aa2 I f2 NG</v>
          </cell>
          <cell r="B115">
            <v>2.5000000000000001E-2</v>
          </cell>
        </row>
        <row r="116">
          <cell r="A116" t="str">
            <v>grof gebroken porfiergranulaat 2/20 Aa2 II f1,5 NG</v>
          </cell>
          <cell r="B116">
            <v>1.4999999999999999E-2</v>
          </cell>
        </row>
        <row r="121">
          <cell r="A121" t="str">
            <v>half gerold grind 4/16 Bc4 I f0,5 CB SA NG PSV NPD (EPC)</v>
          </cell>
          <cell r="B121">
            <v>1.4999999999999999E-2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IAUTtL4j02rzCDt9g5XIief3YFxzY1AsZX154n9vcij7MoC69V9RISE-JWsQJ3e" itemId="01VQDC4DQKAT45G4MQDVFZAB5WWKMNSDYE">
      <xxl21:absoluteUrl r:id="rId2"/>
    </xxl21:alternateUrls>
    <sheetNames>
      <sheetName val="01_GRONDST"/>
      <sheetName val="02_WATER"/>
      <sheetName val="03_FAMILIE"/>
      <sheetName val="04_ONTWERP"/>
      <sheetName val="05_RECEPT"/>
      <sheetName val="06_PRIJS"/>
      <sheetName val="07_LABO"/>
      <sheetName val="08_STAAL"/>
      <sheetName val="09_VERS"/>
      <sheetName val="10_HARD"/>
      <sheetName val="11_EVALUATIE"/>
      <sheetName val="12_DRUKST+"/>
      <sheetName val="12_DRUKST"/>
      <sheetName val="13_PLAN"/>
      <sheetName val="14_REGELS%"/>
      <sheetName val="14_GRAFIEK.in"/>
      <sheetName val="16_KORT"/>
      <sheetName val="17_EIS"/>
      <sheetName val="18_ASR"/>
      <sheetName val="19_TOEV"/>
      <sheetName val="20_MENU"/>
      <sheetName val="      "/>
      <sheetName val="21_PROJECT_in"/>
      <sheetName val="21_PROJECT"/>
      <sheetName val="     "/>
      <sheetName val="ALKALI_todo"/>
      <sheetName val="   "/>
      <sheetName val="A4 liggend"/>
      <sheetName val="A4 staand"/>
    </sheetNames>
    <sheetDataSet>
      <sheetData sheetId="0"/>
      <sheetData sheetId="1"/>
      <sheetData sheetId="2">
        <row r="4">
          <cell r="A4" t="str">
            <v>/</v>
          </cell>
        </row>
        <row r="6">
          <cell r="A6" t="str">
            <v>HK-S</v>
          </cell>
        </row>
        <row r="7">
          <cell r="A7" t="str">
            <v>MIX-S</v>
          </cell>
        </row>
        <row r="8">
          <cell r="A8" t="str">
            <v>P50-S</v>
          </cell>
        </row>
        <row r="9">
          <cell r="A9" t="str">
            <v>HSR-S</v>
          </cell>
        </row>
        <row r="12">
          <cell r="A12" t="str">
            <v>HK-D</v>
          </cell>
        </row>
        <row r="13">
          <cell r="A13" t="str">
            <v>MIX-D</v>
          </cell>
        </row>
        <row r="14">
          <cell r="A14" t="str">
            <v>P50-D</v>
          </cell>
        </row>
        <row r="15">
          <cell r="A15" t="str">
            <v>HSR-D</v>
          </cell>
        </row>
        <row r="18">
          <cell r="A18" t="str">
            <v>HK-A</v>
          </cell>
        </row>
      </sheetData>
      <sheetData sheetId="3"/>
      <sheetData sheetId="4">
        <row r="10">
          <cell r="A10">
            <v>5344</v>
          </cell>
          <cell r="B10" t="str">
            <v>V.1</v>
          </cell>
          <cell r="E10">
            <v>44350</v>
          </cell>
          <cell r="H10" t="str">
            <v>HK-S</v>
          </cell>
          <cell r="I10" t="str">
            <v>C25/30 GB EE1 S4   7mm CEM III/A 42.5N LA (kift)</v>
          </cell>
          <cell r="K10" t="str">
            <v>C25/30</v>
          </cell>
          <cell r="M10" t="str">
            <v>EE1</v>
          </cell>
          <cell r="N10" t="str">
            <v>S4</v>
          </cell>
          <cell r="T10" t="str">
            <v>CEM III/A 42.5N LA (S≥50%)</v>
          </cell>
          <cell r="U10">
            <v>350</v>
          </cell>
          <cell r="AA10" t="str">
            <v/>
          </cell>
          <cell r="AB10" t="str">
            <v/>
          </cell>
          <cell r="AC10" t="str">
            <v/>
          </cell>
          <cell r="AD10" t="str">
            <v/>
          </cell>
          <cell r="AE10" t="str">
            <v/>
          </cell>
          <cell r="AF10" t="str">
            <v/>
          </cell>
          <cell r="AG10" t="str">
            <v>MasterGlenium300</v>
          </cell>
          <cell r="AJ10" t="str">
            <v/>
          </cell>
          <cell r="AM10" t="str">
            <v/>
          </cell>
          <cell r="BA10">
            <v>5344</v>
          </cell>
          <cell r="BC10" t="str">
            <v>CEM III/A 42.5N LA (S≥50%)</v>
          </cell>
          <cell r="BD10">
            <v>350</v>
          </cell>
          <cell r="BE10" t="str">
            <v/>
          </cell>
          <cell r="BF10">
            <v>0</v>
          </cell>
          <cell r="BG10" t="str">
            <v/>
          </cell>
          <cell r="BH10">
            <v>0</v>
          </cell>
          <cell r="BN10" t="str">
            <v>RZ 0/1 (0/0.315) FF A f3 a CA SA</v>
          </cell>
          <cell r="BO10">
            <v>52</v>
          </cell>
          <cell r="BP10" t="str">
            <v>RZ 0/4 (0/2.5) MF A f3 a CB SA</v>
          </cell>
          <cell r="BQ10">
            <v>498</v>
          </cell>
          <cell r="BR10" t="str">
            <v>RZ 0/4 CF A f3 a CB SA gewassen</v>
          </cell>
          <cell r="BS10">
            <v>346</v>
          </cell>
          <cell r="BT10" t="str">
            <v>K 2/6,3 Ca4a I f2 NG</v>
          </cell>
          <cell r="BU10">
            <v>831</v>
          </cell>
          <cell r="BV10" t="str">
            <v/>
          </cell>
          <cell r="BW10" t="str">
            <v/>
          </cell>
          <cell r="BX10" t="str">
            <v/>
          </cell>
          <cell r="BY10" t="str">
            <v/>
          </cell>
          <cell r="CA10" t="str">
            <v>MasterGlenium300</v>
          </cell>
          <cell r="CB10">
            <v>1</v>
          </cell>
          <cell r="CC10" t="str">
            <v>MasterGlenium300</v>
          </cell>
          <cell r="CD10">
            <v>0</v>
          </cell>
          <cell r="CE10" t="str">
            <v/>
          </cell>
          <cell r="CF10" t="str">
            <v/>
          </cell>
          <cell r="CG10" t="str">
            <v/>
          </cell>
          <cell r="CH10" t="str">
            <v/>
          </cell>
          <cell r="CQ10">
            <v>215</v>
          </cell>
        </row>
        <row r="11">
          <cell r="A11">
            <v>5454</v>
          </cell>
          <cell r="B11" t="str">
            <v>V.1</v>
          </cell>
          <cell r="E11">
            <v>44350</v>
          </cell>
          <cell r="H11" t="str">
            <v>HK-S</v>
          </cell>
          <cell r="I11" t="str">
            <v>C25/30 GB EE2 S4   7mm CEM III/A 42.5N LA (kift)</v>
          </cell>
          <cell r="K11" t="str">
            <v>C30/37</v>
          </cell>
          <cell r="M11" t="str">
            <v>EE2</v>
          </cell>
          <cell r="N11" t="str">
            <v>S4</v>
          </cell>
          <cell r="T11" t="str">
            <v>CEM III/A 42.5N LA (S≥50%)</v>
          </cell>
          <cell r="U11">
            <v>350</v>
          </cell>
          <cell r="AA11" t="str">
            <v/>
          </cell>
          <cell r="AB11" t="str">
            <v/>
          </cell>
          <cell r="AC11" t="str">
            <v/>
          </cell>
          <cell r="AD11" t="str">
            <v/>
          </cell>
          <cell r="AE11" t="str">
            <v/>
          </cell>
          <cell r="AF11" t="str">
            <v/>
          </cell>
          <cell r="AG11" t="str">
            <v>MasterGlenium300</v>
          </cell>
          <cell r="AJ11" t="str">
            <v/>
          </cell>
          <cell r="AM11" t="str">
            <v/>
          </cell>
          <cell r="BA11">
            <v>5454</v>
          </cell>
          <cell r="BC11" t="str">
            <v>CEM III/A 42.5N LA (S≥50%)</v>
          </cell>
          <cell r="BD11">
            <v>350</v>
          </cell>
          <cell r="BE11" t="str">
            <v/>
          </cell>
          <cell r="BF11">
            <v>0</v>
          </cell>
          <cell r="BG11" t="str">
            <v/>
          </cell>
          <cell r="BH11">
            <v>0</v>
          </cell>
          <cell r="BN11" t="str">
            <v>RZ 0/1 (0/0.315) FF A f3 a CA SA</v>
          </cell>
          <cell r="BO11">
            <v>53</v>
          </cell>
          <cell r="BP11" t="str">
            <v>RZ 0/4 (0/2.5) MF A f3 a CB SA</v>
          </cell>
          <cell r="BQ11">
            <v>512</v>
          </cell>
          <cell r="BR11" t="str">
            <v>RZ 0/4 CF A f3 a CB SA gewassen</v>
          </cell>
          <cell r="BS11">
            <v>355</v>
          </cell>
          <cell r="BT11" t="str">
            <v>K 2/6,3 Ca4a I f2 NG</v>
          </cell>
          <cell r="BU11">
            <v>853</v>
          </cell>
          <cell r="BV11" t="str">
            <v/>
          </cell>
          <cell r="BW11" t="str">
            <v/>
          </cell>
          <cell r="BX11" t="str">
            <v/>
          </cell>
          <cell r="BY11" t="str">
            <v/>
          </cell>
          <cell r="CA11" t="str">
            <v>MasterGlenium300</v>
          </cell>
          <cell r="CB11">
            <v>1.9</v>
          </cell>
          <cell r="CC11" t="str">
            <v>MasterGlenium300</v>
          </cell>
          <cell r="CD11">
            <v>0</v>
          </cell>
          <cell r="CE11" t="str">
            <v/>
          </cell>
          <cell r="CF11" t="str">
            <v/>
          </cell>
          <cell r="CG11" t="str">
            <v/>
          </cell>
          <cell r="CH11" t="str">
            <v/>
          </cell>
          <cell r="CQ11">
            <v>197</v>
          </cell>
        </row>
        <row r="12">
          <cell r="A12">
            <v>5554</v>
          </cell>
          <cell r="B12" t="str">
            <v>V.1</v>
          </cell>
          <cell r="E12">
            <v>44361</v>
          </cell>
          <cell r="H12" t="str">
            <v>HK-D</v>
          </cell>
          <cell r="I12" t="str">
            <v>C30/37 GB EE3 S4   7mm CEM III/A 42.5N LA (kift)</v>
          </cell>
          <cell r="K12" t="str">
            <v>C30/37</v>
          </cell>
          <cell r="M12" t="str">
            <v>EE3</v>
          </cell>
          <cell r="N12" t="str">
            <v>S4</v>
          </cell>
          <cell r="T12" t="str">
            <v>CEM III/A 42.5N LA (S≥50%)</v>
          </cell>
          <cell r="U12">
            <v>390</v>
          </cell>
          <cell r="AA12" t="str">
            <v/>
          </cell>
          <cell r="AB12" t="str">
            <v/>
          </cell>
          <cell r="AC12" t="str">
            <v/>
          </cell>
          <cell r="AD12" t="str">
            <v/>
          </cell>
          <cell r="AE12" t="str">
            <v/>
          </cell>
          <cell r="AF12" t="str">
            <v/>
          </cell>
          <cell r="AG12" t="str">
            <v>MasterGlenium300</v>
          </cell>
          <cell r="AJ12" t="str">
            <v/>
          </cell>
          <cell r="AM12" t="str">
            <v/>
          </cell>
          <cell r="BA12">
            <v>5554</v>
          </cell>
          <cell r="BC12" t="str">
            <v>CEM III/A 42.5N LA (S≥50%)</v>
          </cell>
          <cell r="BD12">
            <v>390</v>
          </cell>
          <cell r="BE12" t="str">
            <v/>
          </cell>
          <cell r="BF12">
            <v>0</v>
          </cell>
          <cell r="BG12" t="str">
            <v/>
          </cell>
          <cell r="BH12">
            <v>0</v>
          </cell>
          <cell r="BN12" t="str">
            <v>RZ 0/4 (0/2.5) MF A f3 a CB SA</v>
          </cell>
          <cell r="BO12">
            <v>520</v>
          </cell>
          <cell r="BP12" t="str">
            <v>RZ 0/4 CF A f3 a CB SA gewassen</v>
          </cell>
          <cell r="BQ12">
            <v>384</v>
          </cell>
          <cell r="BR12" t="str">
            <v/>
          </cell>
          <cell r="BS12" t="str">
            <v/>
          </cell>
          <cell r="BT12" t="str">
            <v>K 2/6,3 Ca4a I f2 NG</v>
          </cell>
          <cell r="BU12">
            <v>838</v>
          </cell>
          <cell r="BV12" t="str">
            <v/>
          </cell>
          <cell r="BW12" t="str">
            <v/>
          </cell>
          <cell r="BX12" t="str">
            <v/>
          </cell>
          <cell r="BY12" t="str">
            <v/>
          </cell>
          <cell r="CA12" t="str">
            <v>MasterGlenium300</v>
          </cell>
          <cell r="CB12">
            <v>2</v>
          </cell>
          <cell r="CC12" t="str">
            <v>MasterGlenium300</v>
          </cell>
          <cell r="CD12">
            <v>0</v>
          </cell>
          <cell r="CE12" t="str">
            <v/>
          </cell>
          <cell r="CF12" t="str">
            <v/>
          </cell>
          <cell r="CG12" t="str">
            <v/>
          </cell>
          <cell r="CH12" t="str">
            <v/>
          </cell>
          <cell r="CQ12">
            <v>195</v>
          </cell>
        </row>
        <row r="13">
          <cell r="A13">
            <v>6334</v>
          </cell>
          <cell r="B13" t="str">
            <v>V.1</v>
          </cell>
          <cell r="E13">
            <v>44350</v>
          </cell>
          <cell r="H13" t="str">
            <v>HK-S</v>
          </cell>
          <cell r="I13" t="str">
            <v>C20/25 GB EE1 S4 20mm CEM III/A 42.5N LA</v>
          </cell>
          <cell r="K13" t="str">
            <v>C20/25</v>
          </cell>
          <cell r="M13" t="str">
            <v>EE1</v>
          </cell>
          <cell r="N13" t="str">
            <v>S4</v>
          </cell>
          <cell r="T13" t="str">
            <v>CEM III/A 42.5N LA (S≥50%)</v>
          </cell>
          <cell r="U13">
            <v>320</v>
          </cell>
          <cell r="AA13" t="str">
            <v/>
          </cell>
          <cell r="AB13" t="str">
            <v/>
          </cell>
          <cell r="AC13" t="str">
            <v/>
          </cell>
          <cell r="AD13" t="str">
            <v/>
          </cell>
          <cell r="AE13" t="str">
            <v/>
          </cell>
          <cell r="AF13" t="str">
            <v/>
          </cell>
          <cell r="AG13" t="str">
            <v>MasterGlenium300</v>
          </cell>
          <cell r="AJ13" t="str">
            <v/>
          </cell>
          <cell r="AM13" t="str">
            <v/>
          </cell>
          <cell r="BA13">
            <v>6334</v>
          </cell>
          <cell r="BC13" t="str">
            <v>CEM III/A 42.5N LA (S≥50%)</v>
          </cell>
          <cell r="BD13">
            <v>320</v>
          </cell>
          <cell r="BE13" t="str">
            <v/>
          </cell>
          <cell r="BF13">
            <v>0</v>
          </cell>
          <cell r="BG13" t="str">
            <v/>
          </cell>
          <cell r="BH13">
            <v>0</v>
          </cell>
          <cell r="BN13" t="str">
            <v>RZ 0/1 (0/0.315) FF A f3 a CA SA</v>
          </cell>
          <cell r="BO13">
            <v>43</v>
          </cell>
          <cell r="BP13" t="str">
            <v>RZ 0/4 (0/2.5) MF A f3 a CB SA</v>
          </cell>
          <cell r="BQ13">
            <v>459</v>
          </cell>
          <cell r="BR13" t="str">
            <v>RZ 0/4 CF A f3 a CB SA gewassen</v>
          </cell>
          <cell r="BS13">
            <v>329</v>
          </cell>
          <cell r="BT13" t="str">
            <v>K 2/6,3 Ca4a I f2 NG</v>
          </cell>
          <cell r="BU13">
            <v>181</v>
          </cell>
          <cell r="BV13" t="str">
            <v>K 6,3/20 Ca4a II f1,5 NG</v>
          </cell>
          <cell r="BW13">
            <v>791</v>
          </cell>
          <cell r="BX13" t="str">
            <v/>
          </cell>
          <cell r="BY13" t="str">
            <v/>
          </cell>
          <cell r="CA13" t="str">
            <v>MasterGlenium300</v>
          </cell>
          <cell r="CB13">
            <v>0.4</v>
          </cell>
          <cell r="CC13" t="str">
            <v>MasterGlenium300</v>
          </cell>
          <cell r="CD13">
            <v>0</v>
          </cell>
          <cell r="CE13" t="str">
            <v/>
          </cell>
          <cell r="CF13" t="str">
            <v/>
          </cell>
          <cell r="CG13" t="str">
            <v/>
          </cell>
          <cell r="CH13" t="str">
            <v/>
          </cell>
          <cell r="CQ13">
            <v>198</v>
          </cell>
        </row>
        <row r="14">
          <cell r="A14">
            <v>6344</v>
          </cell>
          <cell r="B14" t="str">
            <v>V.1</v>
          </cell>
          <cell r="E14">
            <v>44350</v>
          </cell>
          <cell r="H14" t="str">
            <v>HK-S</v>
          </cell>
          <cell r="I14" t="str">
            <v>C25/30 GB EE1 S4 20mm CEM III/A 42.5N LA</v>
          </cell>
          <cell r="K14" t="str">
            <v>C25/30</v>
          </cell>
          <cell r="M14" t="str">
            <v>EE1</v>
          </cell>
          <cell r="N14" t="str">
            <v>S4</v>
          </cell>
          <cell r="T14" t="str">
            <v>CEM III/A 42.5N LA (S≥50%)</v>
          </cell>
          <cell r="U14">
            <v>320</v>
          </cell>
          <cell r="AA14" t="str">
            <v/>
          </cell>
          <cell r="AB14" t="str">
            <v/>
          </cell>
          <cell r="AC14" t="str">
            <v/>
          </cell>
          <cell r="AD14" t="str">
            <v/>
          </cell>
          <cell r="AE14" t="str">
            <v/>
          </cell>
          <cell r="AF14" t="str">
            <v/>
          </cell>
          <cell r="AG14" t="str">
            <v>MasterGlenium300</v>
          </cell>
          <cell r="AJ14" t="str">
            <v/>
          </cell>
          <cell r="AM14" t="str">
            <v/>
          </cell>
          <cell r="BA14">
            <v>6344</v>
          </cell>
          <cell r="BC14" t="str">
            <v>CEM III/A 42.5N LA (S≥50%)</v>
          </cell>
          <cell r="BD14">
            <v>320</v>
          </cell>
          <cell r="BE14" t="str">
            <v/>
          </cell>
          <cell r="BF14">
            <v>0</v>
          </cell>
          <cell r="BG14" t="str">
            <v/>
          </cell>
          <cell r="BH14">
            <v>0</v>
          </cell>
          <cell r="BN14" t="str">
            <v>RZ 0/1 (0/0.315) FF A f3 a CA SA</v>
          </cell>
          <cell r="BO14">
            <v>43</v>
          </cell>
          <cell r="BP14" t="str">
            <v>RZ 0/4 (0/2.5) MF A f3 a CB SA</v>
          </cell>
          <cell r="BQ14">
            <v>459</v>
          </cell>
          <cell r="BR14" t="str">
            <v>RZ 0/4 CF A f3 a CB SA gewassen</v>
          </cell>
          <cell r="BS14">
            <v>329</v>
          </cell>
          <cell r="BT14" t="str">
            <v>K 2/6,3 Ca4a I f2 NG</v>
          </cell>
          <cell r="BU14">
            <v>181</v>
          </cell>
          <cell r="BV14" t="str">
            <v>K 6,3/20 Ca4a II f1,5 NG</v>
          </cell>
          <cell r="BW14">
            <v>791</v>
          </cell>
          <cell r="BX14" t="str">
            <v/>
          </cell>
          <cell r="BY14" t="str">
            <v/>
          </cell>
          <cell r="CA14" t="str">
            <v>MasterGlenium300</v>
          </cell>
          <cell r="CB14">
            <v>0.4</v>
          </cell>
          <cell r="CC14" t="str">
            <v>MasterGlenium300</v>
          </cell>
          <cell r="CD14">
            <v>0</v>
          </cell>
          <cell r="CE14" t="str">
            <v/>
          </cell>
          <cell r="CF14" t="str">
            <v/>
          </cell>
          <cell r="CG14" t="str">
            <v/>
          </cell>
          <cell r="CH14" t="str">
            <v/>
          </cell>
          <cell r="CQ14">
            <v>198</v>
          </cell>
        </row>
        <row r="15">
          <cell r="A15">
            <v>6443</v>
          </cell>
          <cell r="B15" t="str">
            <v>V.1</v>
          </cell>
          <cell r="E15">
            <v>44440</v>
          </cell>
          <cell r="H15" t="str">
            <v>HK-S</v>
          </cell>
          <cell r="I15" t="str">
            <v>C25/30 GB EE2 S3 20mm CEM III/A 42.5N LA</v>
          </cell>
          <cell r="K15" t="str">
            <v>C25/30</v>
          </cell>
          <cell r="M15" t="str">
            <v>EE2</v>
          </cell>
          <cell r="N15" t="str">
            <v>S3</v>
          </cell>
          <cell r="T15" t="str">
            <v>CEM III/A 42.5N LA (S≥50%)</v>
          </cell>
          <cell r="U15">
            <v>320</v>
          </cell>
          <cell r="AA15" t="str">
            <v/>
          </cell>
          <cell r="AB15" t="str">
            <v/>
          </cell>
          <cell r="AC15" t="str">
            <v/>
          </cell>
          <cell r="AD15" t="str">
            <v/>
          </cell>
          <cell r="AE15" t="str">
            <v/>
          </cell>
          <cell r="AF15" t="str">
            <v/>
          </cell>
          <cell r="AG15" t="str">
            <v>MasterGlenium300</v>
          </cell>
          <cell r="AJ15" t="str">
            <v/>
          </cell>
          <cell r="AM15" t="str">
            <v/>
          </cell>
          <cell r="BA15">
            <v>6443</v>
          </cell>
          <cell r="BC15" t="str">
            <v>CEM III/A 42.5N LA (S≥50%)</v>
          </cell>
          <cell r="BD15">
            <v>320</v>
          </cell>
          <cell r="BE15" t="str">
            <v/>
          </cell>
          <cell r="BF15">
            <v>0</v>
          </cell>
          <cell r="BG15" t="str">
            <v/>
          </cell>
          <cell r="BH15">
            <v>0</v>
          </cell>
          <cell r="BN15" t="str">
            <v>RZ 0/1 (0/0.315) FF A f3 a CA SA</v>
          </cell>
          <cell r="BO15">
            <v>39</v>
          </cell>
          <cell r="BP15" t="str">
            <v>RZ 0/4 (0/2.5) MF A f3 a CB SA</v>
          </cell>
          <cell r="BQ15">
            <v>384</v>
          </cell>
          <cell r="BR15" t="str">
            <v>RZ 0/4 CF A f3 a CB SA gewassen</v>
          </cell>
          <cell r="BS15">
            <v>429</v>
          </cell>
          <cell r="BT15" t="str">
            <v>K 2/6,3 Ca4a I f2 NG</v>
          </cell>
          <cell r="BU15">
            <v>185</v>
          </cell>
          <cell r="BV15" t="str">
            <v>K 6,3/20 Ca4a II f1,5 NG</v>
          </cell>
          <cell r="BW15">
            <v>811</v>
          </cell>
          <cell r="BX15" t="str">
            <v/>
          </cell>
          <cell r="BY15" t="str">
            <v/>
          </cell>
          <cell r="CA15" t="str">
            <v>MasterGlenium300</v>
          </cell>
          <cell r="CB15">
            <v>1</v>
          </cell>
          <cell r="CC15" t="str">
            <v>MasterGlenium300</v>
          </cell>
          <cell r="CD15">
            <v>0</v>
          </cell>
          <cell r="CE15" t="str">
            <v/>
          </cell>
          <cell r="CF15" t="str">
            <v/>
          </cell>
          <cell r="CG15" t="str">
            <v/>
          </cell>
          <cell r="CH15" t="str">
            <v/>
          </cell>
          <cell r="CQ15">
            <v>182</v>
          </cell>
        </row>
        <row r="16">
          <cell r="A16">
            <v>6444</v>
          </cell>
          <cell r="B16" t="str">
            <v>V.1</v>
          </cell>
          <cell r="E16">
            <v>44353</v>
          </cell>
          <cell r="H16" t="str">
            <v>HK-S</v>
          </cell>
          <cell r="I16" t="str">
            <v>C25/30 GB EE2 S4 20mm CEM III/A 42.5N LA</v>
          </cell>
          <cell r="K16" t="str">
            <v>C25/30</v>
          </cell>
          <cell r="M16" t="str">
            <v>EE2</v>
          </cell>
          <cell r="N16" t="str">
            <v>S4</v>
          </cell>
          <cell r="T16" t="str">
            <v>CEM III/A 42.5N LA (S≥50%)</v>
          </cell>
          <cell r="U16">
            <v>320</v>
          </cell>
          <cell r="AA16" t="str">
            <v/>
          </cell>
          <cell r="AB16" t="str">
            <v/>
          </cell>
          <cell r="AC16" t="str">
            <v/>
          </cell>
          <cell r="AD16" t="str">
            <v/>
          </cell>
          <cell r="AE16" t="str">
            <v/>
          </cell>
          <cell r="AF16" t="str">
            <v/>
          </cell>
          <cell r="AG16" t="str">
            <v>MasterGlenium300</v>
          </cell>
          <cell r="AJ16" t="str">
            <v/>
          </cell>
          <cell r="AM16" t="str">
            <v/>
          </cell>
          <cell r="BA16">
            <v>6444</v>
          </cell>
          <cell r="BC16" t="str">
            <v>CEM III/A 42.5N LA (S≥50%)</v>
          </cell>
          <cell r="BD16">
            <v>320</v>
          </cell>
          <cell r="BE16" t="str">
            <v/>
          </cell>
          <cell r="BF16">
            <v>0</v>
          </cell>
          <cell r="BG16" t="str">
            <v/>
          </cell>
          <cell r="BH16">
            <v>0</v>
          </cell>
          <cell r="BN16" t="str">
            <v>RZ 0/1 (0/0.315) FF A f3 a CA SA</v>
          </cell>
          <cell r="BO16">
            <v>39</v>
          </cell>
          <cell r="BP16" t="str">
            <v>RZ 0/4 (0/2.5) MF A f3 a CB SA</v>
          </cell>
          <cell r="BQ16">
            <v>383</v>
          </cell>
          <cell r="BR16" t="str">
            <v>RZ 0/4 CF A f3 a CB SA gewassen</v>
          </cell>
          <cell r="BS16">
            <v>429</v>
          </cell>
          <cell r="BT16" t="str">
            <v>K 2/6,3 Ca4a I f2 NG</v>
          </cell>
          <cell r="BU16">
            <v>185</v>
          </cell>
          <cell r="BV16" t="str">
            <v>K 6,3/20 Ca4a II f1,5 NG</v>
          </cell>
          <cell r="BW16">
            <v>809</v>
          </cell>
          <cell r="BX16" t="str">
            <v/>
          </cell>
          <cell r="BY16" t="str">
            <v/>
          </cell>
          <cell r="CA16" t="str">
            <v>MasterGlenium300</v>
          </cell>
          <cell r="CB16">
            <v>1.5</v>
          </cell>
          <cell r="CC16" t="str">
            <v>MasterGlenium300</v>
          </cell>
          <cell r="CD16">
            <v>0</v>
          </cell>
          <cell r="CE16" t="str">
            <v/>
          </cell>
          <cell r="CF16" t="str">
            <v/>
          </cell>
          <cell r="CG16" t="str">
            <v/>
          </cell>
          <cell r="CH16" t="str">
            <v/>
          </cell>
          <cell r="CQ16">
            <v>181</v>
          </cell>
        </row>
        <row r="17">
          <cell r="A17">
            <v>6454</v>
          </cell>
          <cell r="B17" t="str">
            <v>V.1</v>
          </cell>
          <cell r="E17">
            <v>44353</v>
          </cell>
          <cell r="H17" t="str">
            <v>HK-S</v>
          </cell>
          <cell r="I17" t="str">
            <v>C30/37 GB EE2 S4 20mm CEM III/A 42.5N LA</v>
          </cell>
          <cell r="K17" t="str">
            <v>C30/37</v>
          </cell>
          <cell r="M17" t="str">
            <v>EE2</v>
          </cell>
          <cell r="N17" t="str">
            <v>S4</v>
          </cell>
          <cell r="T17" t="str">
            <v>CEM III/A 42.5N LA (S≥50%)</v>
          </cell>
          <cell r="U17">
            <v>320</v>
          </cell>
          <cell r="AA17" t="str">
            <v/>
          </cell>
          <cell r="AB17" t="str">
            <v/>
          </cell>
          <cell r="AC17" t="str">
            <v/>
          </cell>
          <cell r="AD17" t="str">
            <v/>
          </cell>
          <cell r="AE17" t="str">
            <v/>
          </cell>
          <cell r="AF17" t="str">
            <v/>
          </cell>
          <cell r="AG17" t="str">
            <v>MasterGlenium300</v>
          </cell>
          <cell r="AJ17" t="str">
            <v/>
          </cell>
          <cell r="AM17" t="str">
            <v/>
          </cell>
          <cell r="BA17">
            <v>6454</v>
          </cell>
          <cell r="BC17" t="str">
            <v>CEM III/A 42.5N LA (S≥50%)</v>
          </cell>
          <cell r="BD17">
            <v>320</v>
          </cell>
          <cell r="BE17" t="str">
            <v/>
          </cell>
          <cell r="BF17">
            <v>0</v>
          </cell>
          <cell r="BG17" t="str">
            <v/>
          </cell>
          <cell r="BH17">
            <v>0</v>
          </cell>
          <cell r="BN17" t="str">
            <v>RZ 0/1 (0/0.315) FF A f3 a CA SA</v>
          </cell>
          <cell r="BO17">
            <v>39</v>
          </cell>
          <cell r="BP17" t="str">
            <v>RZ 0/4 (0/2.5) MF A f3 a CB SA</v>
          </cell>
          <cell r="BQ17">
            <v>383</v>
          </cell>
          <cell r="BR17" t="str">
            <v>RZ 0/4 CF A f3 a CB SA gewassen</v>
          </cell>
          <cell r="BS17">
            <v>429</v>
          </cell>
          <cell r="BT17" t="str">
            <v>K 2/6,3 Ca4a I f2 NG</v>
          </cell>
          <cell r="BU17">
            <v>185</v>
          </cell>
          <cell r="BV17" t="str">
            <v>K 6,3/20 Ca4a II f1,5 NG</v>
          </cell>
          <cell r="BW17">
            <v>809</v>
          </cell>
          <cell r="BX17" t="str">
            <v/>
          </cell>
          <cell r="BY17" t="str">
            <v/>
          </cell>
          <cell r="CA17" t="str">
            <v>MasterGlenium300</v>
          </cell>
          <cell r="CB17">
            <v>1.5</v>
          </cell>
          <cell r="CC17" t="str">
            <v>MasterGlenium300</v>
          </cell>
          <cell r="CD17">
            <v>0</v>
          </cell>
          <cell r="CE17" t="str">
            <v/>
          </cell>
          <cell r="CF17" t="str">
            <v/>
          </cell>
          <cell r="CG17" t="str">
            <v/>
          </cell>
          <cell r="CH17" t="str">
            <v/>
          </cell>
          <cell r="CQ17">
            <v>181</v>
          </cell>
        </row>
        <row r="18">
          <cell r="A18">
            <v>6553</v>
          </cell>
          <cell r="B18" t="str">
            <v>V.1</v>
          </cell>
          <cell r="E18">
            <v>44350</v>
          </cell>
          <cell r="H18" t="str">
            <v>HK-D</v>
          </cell>
          <cell r="I18" t="str">
            <v>C30/37 GB EE3 S3 20mm CEM III/A 42.5N LA</v>
          </cell>
          <cell r="K18" t="str">
            <v>C30/37</v>
          </cell>
          <cell r="M18" t="str">
            <v>EE3</v>
          </cell>
          <cell r="N18" t="str">
            <v>S3</v>
          </cell>
          <cell r="T18" t="str">
            <v>CEM III/A 42.5N LA (S≥50%)</v>
          </cell>
          <cell r="U18">
            <v>350</v>
          </cell>
          <cell r="AA18" t="str">
            <v/>
          </cell>
          <cell r="AB18" t="str">
            <v/>
          </cell>
          <cell r="AC18" t="str">
            <v/>
          </cell>
          <cell r="AD18" t="str">
            <v/>
          </cell>
          <cell r="AE18" t="str">
            <v/>
          </cell>
          <cell r="AF18" t="str">
            <v/>
          </cell>
          <cell r="AG18" t="str">
            <v>MasterGlenium300</v>
          </cell>
          <cell r="AJ18" t="str">
            <v/>
          </cell>
          <cell r="AM18" t="str">
            <v/>
          </cell>
          <cell r="BA18">
            <v>6553</v>
          </cell>
          <cell r="BC18" t="str">
            <v>CEM III/A 42.5N LA (S≥50%)</v>
          </cell>
          <cell r="BD18">
            <v>350</v>
          </cell>
          <cell r="BE18" t="str">
            <v/>
          </cell>
          <cell r="BF18">
            <v>0</v>
          </cell>
          <cell r="BG18" t="str">
            <v/>
          </cell>
          <cell r="BH18">
            <v>0</v>
          </cell>
          <cell r="BN18" t="str">
            <v>RZ 0/4 (0/2.5) MF A f3 a CB SA</v>
          </cell>
          <cell r="BO18">
            <v>282</v>
          </cell>
          <cell r="BP18" t="str">
            <v>RZ 0/4 CF A f3 a CB SA gewassen</v>
          </cell>
          <cell r="BQ18">
            <v>563</v>
          </cell>
          <cell r="BR18" t="str">
            <v/>
          </cell>
          <cell r="BS18" t="str">
            <v/>
          </cell>
          <cell r="BT18" t="str">
            <v>K 2/6,3 Ca4a I f2 NG</v>
          </cell>
          <cell r="BU18">
            <v>183</v>
          </cell>
          <cell r="BV18" t="str">
            <v>K 6,3/20 Ca4a II f1,5 NG</v>
          </cell>
          <cell r="BW18">
            <v>803</v>
          </cell>
          <cell r="BX18" t="str">
            <v/>
          </cell>
          <cell r="BY18" t="str">
            <v/>
          </cell>
          <cell r="CA18" t="str">
            <v>MasterGlenium300</v>
          </cell>
          <cell r="CB18">
            <v>1.2</v>
          </cell>
          <cell r="CC18" t="str">
            <v>MasterGlenium300</v>
          </cell>
          <cell r="CD18">
            <v>0</v>
          </cell>
          <cell r="CE18" t="str">
            <v/>
          </cell>
          <cell r="CF18" t="str">
            <v/>
          </cell>
          <cell r="CG18" t="str">
            <v/>
          </cell>
          <cell r="CH18" t="str">
            <v/>
          </cell>
          <cell r="CQ18">
            <v>177</v>
          </cell>
        </row>
        <row r="19">
          <cell r="A19">
            <v>6554</v>
          </cell>
          <cell r="B19" t="str">
            <v>V.1</v>
          </cell>
          <cell r="E19">
            <v>44350</v>
          </cell>
          <cell r="H19" t="str">
            <v>HK-D</v>
          </cell>
          <cell r="I19" t="str">
            <v>C30/37 GB EE3 S4 20mm CEM III/A 42.5N LA</v>
          </cell>
          <cell r="K19" t="str">
            <v>C30/37</v>
          </cell>
          <cell r="M19" t="str">
            <v>EE3</v>
          </cell>
          <cell r="N19" t="str">
            <v>S4</v>
          </cell>
          <cell r="T19" t="str">
            <v>CEM III/A 42.5N LA (S≥50%)</v>
          </cell>
          <cell r="U19">
            <v>350</v>
          </cell>
          <cell r="AA19" t="str">
            <v/>
          </cell>
          <cell r="AB19" t="str">
            <v/>
          </cell>
          <cell r="AC19" t="str">
            <v/>
          </cell>
          <cell r="AD19" t="str">
            <v/>
          </cell>
          <cell r="AE19" t="str">
            <v/>
          </cell>
          <cell r="AF19" t="str">
            <v/>
          </cell>
          <cell r="AG19" t="str">
            <v>MasterGlenium300</v>
          </cell>
          <cell r="AJ19" t="str">
            <v/>
          </cell>
          <cell r="AM19" t="str">
            <v/>
          </cell>
          <cell r="BA19">
            <v>6554</v>
          </cell>
          <cell r="BC19" t="str">
            <v>CEM III/A 42.5N LA (S≥50%)</v>
          </cell>
          <cell r="BD19">
            <v>350</v>
          </cell>
          <cell r="BE19" t="str">
            <v/>
          </cell>
          <cell r="BF19">
            <v>0</v>
          </cell>
          <cell r="BG19" t="str">
            <v/>
          </cell>
          <cell r="BH19">
            <v>0</v>
          </cell>
          <cell r="BN19" t="str">
            <v>RZ 0/4 (0/2.5) MF A f3 a CB SA</v>
          </cell>
          <cell r="BO19">
            <v>282</v>
          </cell>
          <cell r="BP19" t="str">
            <v>RZ 0/4 CF A f3 a CB SA gewassen</v>
          </cell>
          <cell r="BQ19">
            <v>563</v>
          </cell>
          <cell r="BR19" t="str">
            <v/>
          </cell>
          <cell r="BS19" t="str">
            <v/>
          </cell>
          <cell r="BT19" t="str">
            <v>K 2/6,3 Ca4a I f2 NG</v>
          </cell>
          <cell r="BU19">
            <v>183</v>
          </cell>
          <cell r="BV19" t="str">
            <v>K 6,3/20 Ca4a II f1,5 NG</v>
          </cell>
          <cell r="BW19">
            <v>803</v>
          </cell>
          <cell r="BX19" t="str">
            <v/>
          </cell>
          <cell r="BY19" t="str">
            <v/>
          </cell>
          <cell r="CA19" t="str">
            <v>MasterGlenium300</v>
          </cell>
          <cell r="CB19">
            <v>1.7</v>
          </cell>
          <cell r="CC19" t="str">
            <v>MasterGlenium300</v>
          </cell>
          <cell r="CD19">
            <v>0</v>
          </cell>
          <cell r="CE19" t="str">
            <v/>
          </cell>
          <cell r="CF19" t="str">
            <v/>
          </cell>
          <cell r="CG19" t="str">
            <v/>
          </cell>
          <cell r="CH19" t="str">
            <v/>
          </cell>
          <cell r="CQ19">
            <v>177</v>
          </cell>
        </row>
        <row r="20">
          <cell r="A20">
            <v>6556</v>
          </cell>
          <cell r="B20" t="str">
            <v>V.1</v>
          </cell>
          <cell r="E20">
            <v>44420</v>
          </cell>
          <cell r="H20" t="str">
            <v>HK-D</v>
          </cell>
          <cell r="I20" t="str">
            <v>C30/37 GB EE3 S4 20mm CEM III/A 42.5N LA (poly)</v>
          </cell>
          <cell r="K20" t="str">
            <v>C30/37</v>
          </cell>
          <cell r="M20" t="str">
            <v>EE3</v>
          </cell>
          <cell r="N20" t="str">
            <v>S4</v>
          </cell>
          <cell r="T20" t="str">
            <v>CEM III/A 42.5N LA (S≥50%)</v>
          </cell>
          <cell r="U20">
            <v>370</v>
          </cell>
          <cell r="AA20" t="str">
            <v/>
          </cell>
          <cell r="AB20" t="str">
            <v/>
          </cell>
          <cell r="AC20" t="str">
            <v/>
          </cell>
          <cell r="AD20" t="str">
            <v/>
          </cell>
          <cell r="AE20" t="str">
            <v/>
          </cell>
          <cell r="AF20" t="str">
            <v/>
          </cell>
          <cell r="AG20" t="str">
            <v>MasterGlenium300</v>
          </cell>
          <cell r="AJ20" t="str">
            <v/>
          </cell>
          <cell r="AM20" t="str">
            <v/>
          </cell>
          <cell r="BA20">
            <v>6556</v>
          </cell>
          <cell r="BC20" t="str">
            <v>CEM III/A 42.5N LA (S≥50%)</v>
          </cell>
          <cell r="BD20">
            <v>370</v>
          </cell>
          <cell r="BE20" t="str">
            <v/>
          </cell>
          <cell r="BF20">
            <v>0</v>
          </cell>
          <cell r="BG20" t="str">
            <v/>
          </cell>
          <cell r="BH20">
            <v>0</v>
          </cell>
          <cell r="BN20" t="str">
            <v>RZ 0/4 (0/2.5) MF A f3 a CB SA</v>
          </cell>
          <cell r="BO20">
            <v>222</v>
          </cell>
          <cell r="BP20" t="str">
            <v>RZ 0/4 CF A f3 a CB SA gewassen</v>
          </cell>
          <cell r="BQ20">
            <v>582</v>
          </cell>
          <cell r="BR20" t="str">
            <v/>
          </cell>
          <cell r="BS20" t="str">
            <v/>
          </cell>
          <cell r="BT20" t="str">
            <v>K 2/6,3 Ca4a I f2 NG</v>
          </cell>
          <cell r="BU20">
            <v>233</v>
          </cell>
          <cell r="BV20" t="str">
            <v>K 6,3/20 Ca4a II f1,5 NG</v>
          </cell>
          <cell r="BW20">
            <v>752</v>
          </cell>
          <cell r="BX20" t="str">
            <v/>
          </cell>
          <cell r="BY20" t="str">
            <v/>
          </cell>
          <cell r="CA20" t="str">
            <v>MasterGlenium300</v>
          </cell>
          <cell r="CB20">
            <v>1.2</v>
          </cell>
          <cell r="CC20" t="str">
            <v>MasterGlenium300</v>
          </cell>
          <cell r="CD20">
            <v>0</v>
          </cell>
          <cell r="CE20" t="str">
            <v/>
          </cell>
          <cell r="CF20" t="str">
            <v/>
          </cell>
          <cell r="CG20" t="str">
            <v/>
          </cell>
          <cell r="CH20" t="str">
            <v/>
          </cell>
          <cell r="CQ20">
            <v>187</v>
          </cell>
        </row>
        <row r="21">
          <cell r="A21" t="str">
            <v>6556.TEST</v>
          </cell>
          <cell r="B21" t="str">
            <v>V.1</v>
          </cell>
          <cell r="E21">
            <v>44420</v>
          </cell>
          <cell r="H21" t="str">
            <v>HK-D</v>
          </cell>
          <cell r="I21" t="str">
            <v>C30/37 GB EE3 S4 20mm CEM III/A 42.5N LA (poly)</v>
          </cell>
          <cell r="K21" t="str">
            <v>C30/37</v>
          </cell>
          <cell r="M21" t="str">
            <v>EE3</v>
          </cell>
          <cell r="N21" t="str">
            <v>S4</v>
          </cell>
          <cell r="T21" t="str">
            <v>CEM III/A 42.5N LA (S≥50%)</v>
          </cell>
          <cell r="U21">
            <v>350</v>
          </cell>
          <cell r="AA21" t="str">
            <v/>
          </cell>
          <cell r="AB21" t="str">
            <v/>
          </cell>
          <cell r="AC21" t="str">
            <v/>
          </cell>
          <cell r="AD21" t="str">
            <v/>
          </cell>
          <cell r="AE21" t="str">
            <v/>
          </cell>
          <cell r="AF21" t="str">
            <v/>
          </cell>
          <cell r="AG21" t="str">
            <v>MasterGlenium300</v>
          </cell>
          <cell r="AJ21" t="str">
            <v/>
          </cell>
          <cell r="AM21" t="str">
            <v/>
          </cell>
          <cell r="BA21" t="str">
            <v>6556.TEST</v>
          </cell>
          <cell r="BC21" t="str">
            <v>CEM III/A 42.5N LA (S≥50%)</v>
          </cell>
          <cell r="BD21">
            <v>350</v>
          </cell>
          <cell r="BE21" t="str">
            <v/>
          </cell>
          <cell r="BF21">
            <v>0</v>
          </cell>
          <cell r="BG21" t="str">
            <v/>
          </cell>
          <cell r="BH21">
            <v>0</v>
          </cell>
          <cell r="BN21" t="str">
            <v>RZ 0/4 (0/2.5) MF A f3 a CB SA</v>
          </cell>
          <cell r="BO21">
            <v>382</v>
          </cell>
          <cell r="BP21" t="str">
            <v>RZ 0/4 CF A f3 a CB SA gewassen</v>
          </cell>
          <cell r="BQ21">
            <v>385</v>
          </cell>
          <cell r="BR21" t="str">
            <v/>
          </cell>
          <cell r="BS21" t="str">
            <v/>
          </cell>
          <cell r="BT21" t="str">
            <v>zeegrind 4/14 Ba I f0.5 CB SA (NHM)</v>
          </cell>
          <cell r="BU21">
            <v>1000</v>
          </cell>
          <cell r="BV21" t="str">
            <v/>
          </cell>
          <cell r="BW21" t="str">
            <v/>
          </cell>
          <cell r="BX21" t="str">
            <v/>
          </cell>
          <cell r="BY21" t="str">
            <v/>
          </cell>
          <cell r="CA21" t="str">
            <v>MasterGlenium300</v>
          </cell>
          <cell r="CB21">
            <v>1.2</v>
          </cell>
          <cell r="CC21" t="str">
            <v>MasterGlenium300</v>
          </cell>
          <cell r="CD21">
            <v>0</v>
          </cell>
          <cell r="CE21" t="str">
            <v/>
          </cell>
          <cell r="CF21" t="str">
            <v/>
          </cell>
          <cell r="CG21" t="str">
            <v/>
          </cell>
          <cell r="CH21" t="str">
            <v/>
          </cell>
          <cell r="CQ21">
            <v>189</v>
          </cell>
        </row>
        <row r="22">
          <cell r="A22">
            <v>6566</v>
          </cell>
          <cell r="B22" t="str">
            <v>V.1</v>
          </cell>
          <cell r="E22">
            <v>44350</v>
          </cell>
          <cell r="H22" t="str">
            <v>HK-D</v>
          </cell>
          <cell r="I22" t="str">
            <v>C35/45 GB EE3 S4 20mm CEM III/A 42.5N LA (poly)</v>
          </cell>
          <cell r="K22" t="str">
            <v>C35/45</v>
          </cell>
          <cell r="M22" t="str">
            <v>EE3</v>
          </cell>
          <cell r="N22" t="str">
            <v>S4</v>
          </cell>
          <cell r="T22" t="str">
            <v>CEM III/A 42.5N LA (S≥50%)</v>
          </cell>
          <cell r="U22">
            <v>370</v>
          </cell>
          <cell r="AA22" t="str">
            <v/>
          </cell>
          <cell r="AB22" t="str">
            <v/>
          </cell>
          <cell r="AC22" t="str">
            <v/>
          </cell>
          <cell r="AD22" t="str">
            <v/>
          </cell>
          <cell r="AE22" t="str">
            <v/>
          </cell>
          <cell r="AF22" t="str">
            <v/>
          </cell>
          <cell r="AG22" t="str">
            <v>MasterGlenium300</v>
          </cell>
          <cell r="AJ22" t="str">
            <v/>
          </cell>
          <cell r="AM22" t="str">
            <v/>
          </cell>
          <cell r="BA22">
            <v>6566</v>
          </cell>
          <cell r="BC22" t="str">
            <v>CEM III/A 42.5N LA (S≥50%)</v>
          </cell>
          <cell r="BD22">
            <v>370</v>
          </cell>
          <cell r="BE22" t="str">
            <v/>
          </cell>
          <cell r="BF22">
            <v>0</v>
          </cell>
          <cell r="BG22" t="str">
            <v/>
          </cell>
          <cell r="BH22">
            <v>0</v>
          </cell>
          <cell r="BN22" t="str">
            <v>RZ 0/4 (0/2.5) MF A f3 a CB SA</v>
          </cell>
          <cell r="BO22">
            <v>222</v>
          </cell>
          <cell r="BP22" t="str">
            <v>RZ 0/4 CF A f3 a CB SA gewassen</v>
          </cell>
          <cell r="BQ22">
            <v>582</v>
          </cell>
          <cell r="BR22" t="str">
            <v/>
          </cell>
          <cell r="BS22" t="str">
            <v/>
          </cell>
          <cell r="BT22" t="str">
            <v>K 2/6,3 Ca4a I f2 NG</v>
          </cell>
          <cell r="BU22">
            <v>233</v>
          </cell>
          <cell r="BV22" t="str">
            <v>K 6,3/20 Ca4a II f1,5 NG</v>
          </cell>
          <cell r="BW22">
            <v>752</v>
          </cell>
          <cell r="BX22" t="str">
            <v/>
          </cell>
          <cell r="BY22" t="str">
            <v/>
          </cell>
          <cell r="CA22" t="str">
            <v>MasterGlenium300</v>
          </cell>
          <cell r="CB22">
            <v>1.2</v>
          </cell>
          <cell r="CC22" t="str">
            <v>MasterGlenium300</v>
          </cell>
          <cell r="CD22">
            <v>0</v>
          </cell>
          <cell r="CE22" t="str">
            <v/>
          </cell>
          <cell r="CF22" t="str">
            <v/>
          </cell>
          <cell r="CG22" t="str">
            <v/>
          </cell>
          <cell r="CH22" t="str">
            <v/>
          </cell>
          <cell r="CQ22">
            <v>187</v>
          </cell>
        </row>
        <row r="23">
          <cell r="A23">
            <v>6568</v>
          </cell>
          <cell r="B23" t="str">
            <v>V.1</v>
          </cell>
          <cell r="E23">
            <v>44350</v>
          </cell>
          <cell r="H23" t="str">
            <v>HK-D</v>
          </cell>
          <cell r="I23" t="str">
            <v>C35/45 GB EE3 S4 20mm CEM III/A 42.5N LA (poly+macroPPvezel)</v>
          </cell>
          <cell r="K23" t="str">
            <v>C35/45</v>
          </cell>
          <cell r="M23" t="str">
            <v>EE3</v>
          </cell>
          <cell r="N23" t="str">
            <v>S4</v>
          </cell>
          <cell r="T23" t="str">
            <v>CEM III/A 42.5N LA (S≥50%)</v>
          </cell>
          <cell r="U23">
            <v>370</v>
          </cell>
          <cell r="AA23" t="str">
            <v>VEZEL macro PP</v>
          </cell>
          <cell r="AB23" t="str">
            <v>kg/m3</v>
          </cell>
          <cell r="AC23">
            <v>3</v>
          </cell>
          <cell r="AD23" t="str">
            <v/>
          </cell>
          <cell r="AE23" t="str">
            <v/>
          </cell>
          <cell r="AF23" t="str">
            <v/>
          </cell>
          <cell r="AG23" t="str">
            <v>MasterGlenium300</v>
          </cell>
          <cell r="AJ23" t="str">
            <v/>
          </cell>
          <cell r="AM23" t="str">
            <v/>
          </cell>
          <cell r="BA23">
            <v>6568</v>
          </cell>
          <cell r="BC23" t="str">
            <v>CEM III/A 42.5N LA (S≥50%)</v>
          </cell>
          <cell r="BD23">
            <v>370</v>
          </cell>
          <cell r="BE23" t="str">
            <v/>
          </cell>
          <cell r="BF23">
            <v>0</v>
          </cell>
          <cell r="BG23" t="str">
            <v/>
          </cell>
          <cell r="BH23">
            <v>0</v>
          </cell>
          <cell r="BN23" t="str">
            <v>RZ 0/4 (0/2.5) MF A f3 a CB SA</v>
          </cell>
          <cell r="BO23">
            <v>221</v>
          </cell>
          <cell r="BP23" t="str">
            <v>RZ 0/4 CF A f3 a CB SA gewassen</v>
          </cell>
          <cell r="BQ23">
            <v>579</v>
          </cell>
          <cell r="BR23" t="str">
            <v/>
          </cell>
          <cell r="BS23" t="str">
            <v/>
          </cell>
          <cell r="BT23" t="str">
            <v>K 2/6,3 Ca4a I f2 NG</v>
          </cell>
          <cell r="BU23">
            <v>232</v>
          </cell>
          <cell r="BV23" t="str">
            <v>K 6,3/20 Ca4a II f1,5 NG</v>
          </cell>
          <cell r="BW23">
            <v>748</v>
          </cell>
          <cell r="BX23" t="str">
            <v/>
          </cell>
          <cell r="BY23" t="str">
            <v/>
          </cell>
          <cell r="CA23" t="str">
            <v>MasterGlenium300</v>
          </cell>
          <cell r="CB23">
            <v>1.5</v>
          </cell>
          <cell r="CC23" t="str">
            <v>MasterGlenium300</v>
          </cell>
          <cell r="CD23">
            <v>0</v>
          </cell>
          <cell r="CE23" t="str">
            <v/>
          </cell>
          <cell r="CF23" t="str">
            <v/>
          </cell>
          <cell r="CG23" t="str">
            <v/>
          </cell>
          <cell r="CH23" t="str">
            <v/>
          </cell>
          <cell r="CQ23">
            <v>187</v>
          </cell>
        </row>
        <row r="24">
          <cell r="A24">
            <v>6766</v>
          </cell>
          <cell r="B24" t="str">
            <v>V.1</v>
          </cell>
          <cell r="E24">
            <v>44350</v>
          </cell>
          <cell r="H24" t="str">
            <v>HK-D</v>
          </cell>
          <cell r="I24" t="str">
            <v>C35/45 GB EE4 S4 20mm CEM III/A 42.5N LA (poly)</v>
          </cell>
          <cell r="K24" t="str">
            <v>C35/45</v>
          </cell>
          <cell r="M24" t="str">
            <v>EE4</v>
          </cell>
          <cell r="N24" t="str">
            <v>S4</v>
          </cell>
          <cell r="T24" t="str">
            <v>CEM III/A 42.5N LA (S≥50%)</v>
          </cell>
          <cell r="U24">
            <v>390</v>
          </cell>
          <cell r="AA24" t="str">
            <v/>
          </cell>
          <cell r="AB24" t="str">
            <v/>
          </cell>
          <cell r="AC24" t="str">
            <v/>
          </cell>
          <cell r="AD24" t="str">
            <v/>
          </cell>
          <cell r="AE24" t="str">
            <v/>
          </cell>
          <cell r="AF24" t="str">
            <v/>
          </cell>
          <cell r="AG24" t="str">
            <v>MasterGlenium300</v>
          </cell>
          <cell r="AJ24" t="str">
            <v/>
          </cell>
          <cell r="AM24" t="str">
            <v/>
          </cell>
          <cell r="BA24">
            <v>6766</v>
          </cell>
          <cell r="BC24" t="str">
            <v>CEM III/A 42.5N LA (S≥50%)</v>
          </cell>
          <cell r="BD24">
            <v>390</v>
          </cell>
          <cell r="BE24" t="str">
            <v/>
          </cell>
          <cell r="BF24">
            <v>0</v>
          </cell>
          <cell r="BG24" t="str">
            <v/>
          </cell>
          <cell r="BH24">
            <v>0</v>
          </cell>
          <cell r="BN24" t="str">
            <v>RZ 0/4 (0/2.5) MF A f3 a CB SA</v>
          </cell>
          <cell r="BO24">
            <v>178</v>
          </cell>
          <cell r="BP24" t="str">
            <v>RZ 0/4 CF A f3 a CB SA gewassen</v>
          </cell>
          <cell r="BQ24">
            <v>629</v>
          </cell>
          <cell r="BR24" t="str">
            <v/>
          </cell>
          <cell r="BS24" t="str">
            <v/>
          </cell>
          <cell r="BT24" t="str">
            <v>K 2/6,3 Ca4a I f2 NG</v>
          </cell>
          <cell r="BU24">
            <v>234</v>
          </cell>
          <cell r="BV24" t="str">
            <v>K 6,3/20 Ca4a II f1,5 NG</v>
          </cell>
          <cell r="BW24">
            <v>755</v>
          </cell>
          <cell r="BX24" t="str">
            <v/>
          </cell>
          <cell r="BY24" t="str">
            <v/>
          </cell>
          <cell r="CA24" t="str">
            <v>MasterGlenium300</v>
          </cell>
          <cell r="CB24">
            <v>1.7</v>
          </cell>
          <cell r="CC24" t="str">
            <v>MasterGlenium300</v>
          </cell>
          <cell r="CD24">
            <v>0</v>
          </cell>
          <cell r="CE24" t="str">
            <v/>
          </cell>
          <cell r="CF24" t="str">
            <v/>
          </cell>
          <cell r="CG24" t="str">
            <v/>
          </cell>
          <cell r="CH24" t="str">
            <v/>
          </cell>
          <cell r="CQ24">
            <v>177</v>
          </cell>
        </row>
        <row r="25">
          <cell r="A25" t="str">
            <v>6766.VT</v>
          </cell>
          <cell r="B25" t="str">
            <v>V.1</v>
          </cell>
          <cell r="E25">
            <v>44445</v>
          </cell>
          <cell r="H25" t="str">
            <v>HK-D</v>
          </cell>
          <cell r="I25" t="str">
            <v>C35/45 GB EE4 S5 20mm CEM III/A 42.5N LA (poly) + VT 0.5kg</v>
          </cell>
          <cell r="K25" t="str">
            <v>C35/45</v>
          </cell>
          <cell r="M25" t="str">
            <v>EE4</v>
          </cell>
          <cell r="N25" t="str">
            <v>S5</v>
          </cell>
          <cell r="T25" t="str">
            <v>CEM III/A 42.5N LA (S≥50%)</v>
          </cell>
          <cell r="U25">
            <v>400</v>
          </cell>
          <cell r="AA25" t="str">
            <v/>
          </cell>
          <cell r="AB25" t="str">
            <v/>
          </cell>
          <cell r="AC25" t="str">
            <v/>
          </cell>
          <cell r="AD25" t="str">
            <v/>
          </cell>
          <cell r="AE25" t="str">
            <v/>
          </cell>
          <cell r="AF25" t="str">
            <v/>
          </cell>
          <cell r="AG25" t="str">
            <v>MasterGlenium300</v>
          </cell>
          <cell r="AJ25" t="str">
            <v>MasterSet R130</v>
          </cell>
          <cell r="AM25" t="str">
            <v/>
          </cell>
          <cell r="BA25" t="str">
            <v>6766.VT</v>
          </cell>
          <cell r="BC25" t="str">
            <v>CEM III/A 42.5N LA (S≥50%)</v>
          </cell>
          <cell r="BD25">
            <v>400</v>
          </cell>
          <cell r="BE25" t="str">
            <v/>
          </cell>
          <cell r="BF25">
            <v>0</v>
          </cell>
          <cell r="BG25" t="str">
            <v/>
          </cell>
          <cell r="BH25">
            <v>0</v>
          </cell>
          <cell r="BN25" t="str">
            <v>RZ 0/4 (0/2.5) MF A f3 a CB SA</v>
          </cell>
          <cell r="BO25">
            <v>177</v>
          </cell>
          <cell r="BP25" t="str">
            <v>RZ 0/4 CF A f3 a CB SA gewassen</v>
          </cell>
          <cell r="BQ25">
            <v>623</v>
          </cell>
          <cell r="BR25" t="str">
            <v/>
          </cell>
          <cell r="BS25" t="str">
            <v/>
          </cell>
          <cell r="BT25" t="str">
            <v>K 2/6,3 Ca4a I f2 NG</v>
          </cell>
          <cell r="BU25">
            <v>231</v>
          </cell>
          <cell r="BV25" t="str">
            <v>K 6,3/20 Ca4a II f1,5 NG</v>
          </cell>
          <cell r="BW25">
            <v>748</v>
          </cell>
          <cell r="BX25" t="str">
            <v/>
          </cell>
          <cell r="BY25" t="str">
            <v/>
          </cell>
          <cell r="CA25" t="str">
            <v>MasterGlenium300</v>
          </cell>
          <cell r="CB25">
            <v>2</v>
          </cell>
          <cell r="CC25" t="str">
            <v>MasterGlenium300</v>
          </cell>
          <cell r="CD25">
            <v>0</v>
          </cell>
          <cell r="CE25" t="str">
            <v>MasterSet R130</v>
          </cell>
          <cell r="CF25">
            <v>0.5</v>
          </cell>
          <cell r="CG25" t="str">
            <v/>
          </cell>
          <cell r="CH25" t="str">
            <v/>
          </cell>
          <cell r="CQ25">
            <v>181</v>
          </cell>
        </row>
        <row r="26">
          <cell r="A26">
            <v>6861</v>
          </cell>
          <cell r="B26" t="str">
            <v>V.1</v>
          </cell>
          <cell r="E26">
            <v>44350</v>
          </cell>
          <cell r="H26" t="str">
            <v>/</v>
          </cell>
          <cell r="I26" t="str">
            <v>C35/45 GB EE4 S1 20mm CEM III/A 42.5N LA (slipvorm)</v>
          </cell>
          <cell r="K26" t="str">
            <v>C35/45</v>
          </cell>
          <cell r="M26" t="str">
            <v>EE4</v>
          </cell>
          <cell r="N26" t="str">
            <v>S1</v>
          </cell>
          <cell r="T26" t="str">
            <v>CEM III/A 42.5N LA (S≥50%)</v>
          </cell>
          <cell r="U26">
            <v>370</v>
          </cell>
          <cell r="AA26" t="str">
            <v/>
          </cell>
          <cell r="AB26" t="str">
            <v/>
          </cell>
          <cell r="AC26" t="str">
            <v/>
          </cell>
          <cell r="AD26" t="str">
            <v/>
          </cell>
          <cell r="AE26" t="str">
            <v/>
          </cell>
          <cell r="AF26" t="str">
            <v/>
          </cell>
          <cell r="AG26" t="str">
            <v>MasterGlenium300</v>
          </cell>
          <cell r="AJ26" t="str">
            <v/>
          </cell>
          <cell r="AM26" t="str">
            <v/>
          </cell>
          <cell r="BA26">
            <v>6861</v>
          </cell>
          <cell r="BC26" t="str">
            <v>CEM III/A 42.5N LA (S≥50%)</v>
          </cell>
          <cell r="BD26">
            <v>370</v>
          </cell>
          <cell r="BE26" t="str">
            <v/>
          </cell>
          <cell r="BF26">
            <v>0</v>
          </cell>
          <cell r="BG26" t="str">
            <v/>
          </cell>
          <cell r="BH26">
            <v>0</v>
          </cell>
          <cell r="BN26" t="str">
            <v>RZ 0/1 (0/0.315) FF A f3 a CA SA</v>
          </cell>
          <cell r="BO26">
            <v>73</v>
          </cell>
          <cell r="BP26" t="str">
            <v>RZ 0/4 (0/2.5) MF A f3 a CB SA</v>
          </cell>
          <cell r="BQ26">
            <v>183</v>
          </cell>
          <cell r="BR26" t="str">
            <v>RZ 0/4 CF A f3 a CB SA gewassen</v>
          </cell>
          <cell r="BS26">
            <v>591</v>
          </cell>
          <cell r="BT26" t="str">
            <v>K 2/6,3 Ca4a I f2 NG</v>
          </cell>
          <cell r="BU26">
            <v>240</v>
          </cell>
          <cell r="BV26" t="str">
            <v>K 6,3/20 Ca4a II f1,5 NG</v>
          </cell>
          <cell r="BW26">
            <v>757</v>
          </cell>
          <cell r="BX26" t="str">
            <v/>
          </cell>
          <cell r="BY26" t="str">
            <v/>
          </cell>
          <cell r="CA26" t="str">
            <v>MasterGlenium300</v>
          </cell>
          <cell r="CB26">
            <v>1</v>
          </cell>
          <cell r="CC26" t="str">
            <v>MasterGlenium300</v>
          </cell>
          <cell r="CD26">
            <v>0</v>
          </cell>
          <cell r="CE26" t="str">
            <v/>
          </cell>
          <cell r="CF26" t="str">
            <v/>
          </cell>
          <cell r="CG26" t="str">
            <v/>
          </cell>
          <cell r="CH26" t="str">
            <v/>
          </cell>
          <cell r="CQ26">
            <v>166</v>
          </cell>
        </row>
        <row r="27">
          <cell r="A27">
            <v>6951</v>
          </cell>
          <cell r="B27" t="str">
            <v>V.1</v>
          </cell>
          <cell r="E27">
            <v>44350</v>
          </cell>
          <cell r="H27" t="str">
            <v>HK-A</v>
          </cell>
          <cell r="I27" t="str">
            <v>Wm,min 50 MPa S1 (Lijnv. element - LBV - kalkst)</v>
          </cell>
          <cell r="K27" t="str">
            <v>50 MPa</v>
          </cell>
          <cell r="M27" t="str">
            <v>Lijnv. element - LBV</v>
          </cell>
          <cell r="N27" t="str">
            <v>S1</v>
          </cell>
          <cell r="T27" t="str">
            <v>CEM III/A 42.5N LA (S≥50%)</v>
          </cell>
          <cell r="U27">
            <v>370</v>
          </cell>
          <cell r="AA27" t="str">
            <v/>
          </cell>
          <cell r="AB27" t="str">
            <v/>
          </cell>
          <cell r="AC27" t="str">
            <v/>
          </cell>
          <cell r="AD27" t="str">
            <v/>
          </cell>
          <cell r="AE27" t="str">
            <v/>
          </cell>
          <cell r="AF27" t="str">
            <v/>
          </cell>
          <cell r="AG27" t="str">
            <v>MasterGlenium300</v>
          </cell>
          <cell r="AJ27" t="str">
            <v>MasterAir 104</v>
          </cell>
          <cell r="AM27" t="str">
            <v>MasterSet R130</v>
          </cell>
          <cell r="BA27">
            <v>6951</v>
          </cell>
          <cell r="BC27" t="str">
            <v>CEM III/A 42.5N LA (S≥50%)</v>
          </cell>
          <cell r="BD27">
            <v>370</v>
          </cell>
          <cell r="BE27" t="str">
            <v/>
          </cell>
          <cell r="BF27">
            <v>0</v>
          </cell>
          <cell r="BG27" t="str">
            <v/>
          </cell>
          <cell r="BH27">
            <v>0</v>
          </cell>
          <cell r="BN27" t="str">
            <v>RZ 0/4 (0/2.5) MF A f3 a CB SA</v>
          </cell>
          <cell r="BO27">
            <v>180</v>
          </cell>
          <cell r="BP27" t="str">
            <v>RZ 0/4 CF A f3 a CB SA gewassen</v>
          </cell>
          <cell r="BQ27">
            <v>654</v>
          </cell>
          <cell r="BR27" t="str">
            <v/>
          </cell>
          <cell r="BS27" t="str">
            <v/>
          </cell>
          <cell r="BT27" t="str">
            <v>K 2/6,3 Ca4a I f2 NG</v>
          </cell>
          <cell r="BU27">
            <v>236</v>
          </cell>
          <cell r="BV27" t="str">
            <v>K 6,3/20 Ca4a II f1,5 NG</v>
          </cell>
          <cell r="BW27">
            <v>745</v>
          </cell>
          <cell r="BX27" t="str">
            <v/>
          </cell>
          <cell r="BY27" t="str">
            <v/>
          </cell>
          <cell r="CA27" t="str">
            <v>MasterGlenium300</v>
          </cell>
          <cell r="CB27">
            <v>0.5</v>
          </cell>
          <cell r="CC27" t="str">
            <v>MasterGlenium300</v>
          </cell>
          <cell r="CD27">
            <v>0</v>
          </cell>
          <cell r="CE27" t="str">
            <v>MasterSet R130</v>
          </cell>
          <cell r="CF27">
            <v>0.5</v>
          </cell>
          <cell r="CG27" t="str">
            <v>MasterAir 104</v>
          </cell>
          <cell r="CH27">
            <v>0.5</v>
          </cell>
          <cell r="CQ27">
            <v>147</v>
          </cell>
        </row>
        <row r="28">
          <cell r="A28">
            <v>7556</v>
          </cell>
          <cell r="B28" t="str">
            <v>V.1</v>
          </cell>
          <cell r="E28">
            <v>44350</v>
          </cell>
          <cell r="H28" t="str">
            <v>MIX-D</v>
          </cell>
          <cell r="I28" t="str">
            <v>C30/37 GB EE3 S4 20mm CEM III/A (50%) + CEM I 52.5 (50%) (poly)</v>
          </cell>
          <cell r="K28" t="str">
            <v>C30/37</v>
          </cell>
          <cell r="M28" t="str">
            <v>EE3</v>
          </cell>
          <cell r="N28" t="str">
            <v>S4</v>
          </cell>
          <cell r="T28" t="str">
            <v>CEM III/A (50%) + CEM I 52.5 (50%)</v>
          </cell>
          <cell r="U28">
            <v>370</v>
          </cell>
          <cell r="AA28" t="str">
            <v/>
          </cell>
          <cell r="AB28" t="str">
            <v/>
          </cell>
          <cell r="AC28" t="str">
            <v/>
          </cell>
          <cell r="AD28" t="str">
            <v/>
          </cell>
          <cell r="AE28" t="str">
            <v/>
          </cell>
          <cell r="AF28" t="str">
            <v/>
          </cell>
          <cell r="AG28" t="str">
            <v>MasterGlenium300</v>
          </cell>
          <cell r="AJ28" t="str">
            <v/>
          </cell>
          <cell r="AM28" t="str">
            <v/>
          </cell>
          <cell r="BA28">
            <v>7556</v>
          </cell>
          <cell r="BC28" t="str">
            <v>CEM I 52,5 N</v>
          </cell>
          <cell r="BD28">
            <v>185</v>
          </cell>
          <cell r="BE28" t="str">
            <v>CEM III/A 42.5N LA (S≥50%)</v>
          </cell>
          <cell r="BF28">
            <v>185</v>
          </cell>
          <cell r="BG28" t="str">
            <v/>
          </cell>
          <cell r="BH28">
            <v>0</v>
          </cell>
          <cell r="BN28" t="str">
            <v>RZ 0/4 (0/2.5) MF A f3 a CB SA</v>
          </cell>
          <cell r="BO28">
            <v>223</v>
          </cell>
          <cell r="BP28" t="str">
            <v>RZ 0/4 CF A f3 a CB SA gewassen</v>
          </cell>
          <cell r="BQ28">
            <v>583</v>
          </cell>
          <cell r="BR28" t="str">
            <v/>
          </cell>
          <cell r="BS28" t="str">
            <v/>
          </cell>
          <cell r="BT28" t="str">
            <v>K 2/6,3 Ca4a I f2 NG</v>
          </cell>
          <cell r="BU28">
            <v>233</v>
          </cell>
          <cell r="BV28" t="str">
            <v>K 6,3/20 Ca4a II f1,5 NG</v>
          </cell>
          <cell r="BW28">
            <v>754</v>
          </cell>
          <cell r="BX28" t="str">
            <v/>
          </cell>
          <cell r="BY28" t="str">
            <v/>
          </cell>
          <cell r="CA28" t="str">
            <v>MasterGlenium300</v>
          </cell>
          <cell r="CB28">
            <v>1.2</v>
          </cell>
          <cell r="CC28" t="str">
            <v>MasterGlenium300</v>
          </cell>
          <cell r="CD28">
            <v>0</v>
          </cell>
          <cell r="CE28" t="str">
            <v/>
          </cell>
          <cell r="CF28" t="str">
            <v/>
          </cell>
          <cell r="CG28" t="str">
            <v/>
          </cell>
          <cell r="CH28" t="str">
            <v/>
          </cell>
          <cell r="CQ28">
            <v>187</v>
          </cell>
        </row>
        <row r="29">
          <cell r="A29">
            <v>7566</v>
          </cell>
          <cell r="B29" t="str">
            <v>V.1</v>
          </cell>
          <cell r="E29">
            <v>44350</v>
          </cell>
          <cell r="H29" t="str">
            <v>MIX-D</v>
          </cell>
          <cell r="I29" t="str">
            <v>C35/45 GB EE3 S4 20mm CEM III/A (50%) + CEM I 52.5 (50%) (poly)</v>
          </cell>
          <cell r="K29" t="str">
            <v>C35/45</v>
          </cell>
          <cell r="M29" t="str">
            <v>EE3</v>
          </cell>
          <cell r="N29" t="str">
            <v>S4</v>
          </cell>
          <cell r="T29" t="str">
            <v>CEM III/A (50%) + CEM I 52.5 (50%)</v>
          </cell>
          <cell r="U29">
            <v>370</v>
          </cell>
          <cell r="AA29" t="str">
            <v/>
          </cell>
          <cell r="AB29" t="str">
            <v/>
          </cell>
          <cell r="AC29" t="str">
            <v/>
          </cell>
          <cell r="AD29" t="str">
            <v/>
          </cell>
          <cell r="AE29" t="str">
            <v/>
          </cell>
          <cell r="AF29" t="str">
            <v/>
          </cell>
          <cell r="AG29" t="str">
            <v>MasterGlenium300</v>
          </cell>
          <cell r="AJ29" t="str">
            <v/>
          </cell>
          <cell r="AM29" t="str">
            <v/>
          </cell>
          <cell r="BA29">
            <v>7566</v>
          </cell>
          <cell r="BC29" t="str">
            <v>CEM I 52,5 N</v>
          </cell>
          <cell r="BD29">
            <v>185</v>
          </cell>
          <cell r="BE29" t="str">
            <v>CEM III/A 42.5N LA (S≥50%)</v>
          </cell>
          <cell r="BF29">
            <v>185</v>
          </cell>
          <cell r="BG29" t="str">
            <v/>
          </cell>
          <cell r="BH29">
            <v>0</v>
          </cell>
          <cell r="BN29" t="str">
            <v>RZ 0/4 (0/2.5) MF A f3 a CB SA</v>
          </cell>
          <cell r="BO29">
            <v>223</v>
          </cell>
          <cell r="BP29" t="str">
            <v>RZ 0/4 CF A f3 a CB SA gewassen</v>
          </cell>
          <cell r="BQ29">
            <v>583</v>
          </cell>
          <cell r="BR29" t="str">
            <v/>
          </cell>
          <cell r="BS29" t="str">
            <v/>
          </cell>
          <cell r="BT29" t="str">
            <v>K 2/6,3 Ca4a I f2 NG</v>
          </cell>
          <cell r="BU29">
            <v>233</v>
          </cell>
          <cell r="BV29" t="str">
            <v>K 6,3/20 Ca4a II f1,5 NG</v>
          </cell>
          <cell r="BW29">
            <v>754</v>
          </cell>
          <cell r="BX29" t="str">
            <v/>
          </cell>
          <cell r="BY29" t="str">
            <v/>
          </cell>
          <cell r="CA29" t="str">
            <v>MasterGlenium300</v>
          </cell>
          <cell r="CB29">
            <v>1.2</v>
          </cell>
          <cell r="CC29" t="str">
            <v>MasterGlenium300</v>
          </cell>
          <cell r="CD29">
            <v>0</v>
          </cell>
          <cell r="CE29" t="str">
            <v/>
          </cell>
          <cell r="CF29" t="str">
            <v/>
          </cell>
          <cell r="CG29" t="str">
            <v/>
          </cell>
          <cell r="CH29" t="str">
            <v/>
          </cell>
          <cell r="CQ29">
            <v>187</v>
          </cell>
        </row>
        <row r="30">
          <cell r="A30">
            <v>7766</v>
          </cell>
          <cell r="B30" t="str">
            <v>V.1</v>
          </cell>
          <cell r="E30">
            <v>44350</v>
          </cell>
          <cell r="H30" t="str">
            <v>MIX-D</v>
          </cell>
          <cell r="I30" t="str">
            <v>C35/45 GB EE4 S4 20mm CEM III/A (50%) + CEM I 52.5 (50%) (poly)</v>
          </cell>
          <cell r="K30" t="str">
            <v>C35/45</v>
          </cell>
          <cell r="M30" t="str">
            <v>EE4</v>
          </cell>
          <cell r="N30" t="str">
            <v>S4</v>
          </cell>
          <cell r="T30" t="str">
            <v>CEM III/A (50%) + CEM I 52.5 (50%)</v>
          </cell>
          <cell r="U30">
            <v>390</v>
          </cell>
          <cell r="AA30" t="str">
            <v/>
          </cell>
          <cell r="AB30" t="str">
            <v/>
          </cell>
          <cell r="AC30" t="str">
            <v/>
          </cell>
          <cell r="AD30" t="str">
            <v/>
          </cell>
          <cell r="AE30" t="str">
            <v/>
          </cell>
          <cell r="AF30" t="str">
            <v/>
          </cell>
          <cell r="AG30" t="str">
            <v>MasterGlenium300</v>
          </cell>
          <cell r="AJ30" t="str">
            <v/>
          </cell>
          <cell r="AM30" t="str">
            <v/>
          </cell>
          <cell r="BA30">
            <v>7766</v>
          </cell>
          <cell r="BC30" t="str">
            <v>CEM I 52,5 N</v>
          </cell>
          <cell r="BD30">
            <v>195</v>
          </cell>
          <cell r="BE30" t="str">
            <v>CEM III/A 42.5N LA (S≥50%)</v>
          </cell>
          <cell r="BF30">
            <v>195</v>
          </cell>
          <cell r="BG30" t="str">
            <v/>
          </cell>
          <cell r="BH30">
            <v>0</v>
          </cell>
          <cell r="BN30" t="str">
            <v>RZ 0/4 (0/2.5) MF A f3 a CB SA</v>
          </cell>
          <cell r="BO30">
            <v>179</v>
          </cell>
          <cell r="BP30" t="str">
            <v>RZ 0/4 CF A f3 a CB SA gewassen</v>
          </cell>
          <cell r="BQ30">
            <v>631</v>
          </cell>
          <cell r="BR30" t="str">
            <v/>
          </cell>
          <cell r="BS30" t="str">
            <v/>
          </cell>
          <cell r="BT30" t="str">
            <v>K 2/6,3 Ca4a I f2 NG</v>
          </cell>
          <cell r="BU30">
            <v>234</v>
          </cell>
          <cell r="BV30" t="str">
            <v>K 6,3/20 Ca4a II f1,5 NG</v>
          </cell>
          <cell r="BW30">
            <v>758</v>
          </cell>
          <cell r="BX30" t="str">
            <v/>
          </cell>
          <cell r="BY30" t="str">
            <v/>
          </cell>
          <cell r="CA30" t="str">
            <v>MasterGlenium300</v>
          </cell>
          <cell r="CB30">
            <v>1.7</v>
          </cell>
          <cell r="CC30" t="str">
            <v>MasterGlenium300</v>
          </cell>
          <cell r="CD30">
            <v>0</v>
          </cell>
          <cell r="CE30" t="str">
            <v/>
          </cell>
          <cell r="CF30" t="str">
            <v/>
          </cell>
          <cell r="CG30" t="str">
            <v/>
          </cell>
          <cell r="CH30" t="str">
            <v/>
          </cell>
          <cell r="CQ30">
            <v>177</v>
          </cell>
        </row>
        <row r="31">
          <cell r="A31">
            <v>8556</v>
          </cell>
          <cell r="B31" t="str">
            <v>V.1</v>
          </cell>
          <cell r="E31">
            <v>44350</v>
          </cell>
          <cell r="H31" t="str">
            <v>P50-D</v>
          </cell>
          <cell r="I31" t="str">
            <v>C30/37 GB EE3 S4 20mm CEM I 52,5 N (poly)</v>
          </cell>
          <cell r="K31" t="str">
            <v>C30/37</v>
          </cell>
          <cell r="M31" t="str">
            <v>EE3</v>
          </cell>
          <cell r="N31" t="str">
            <v>S4</v>
          </cell>
          <cell r="T31" t="str">
            <v>CEM I 52,5 N</v>
          </cell>
          <cell r="U31">
            <v>370</v>
          </cell>
          <cell r="AA31" t="str">
            <v/>
          </cell>
          <cell r="AB31" t="str">
            <v/>
          </cell>
          <cell r="AC31" t="str">
            <v/>
          </cell>
          <cell r="AD31" t="str">
            <v/>
          </cell>
          <cell r="AE31" t="str">
            <v/>
          </cell>
          <cell r="AF31" t="str">
            <v/>
          </cell>
          <cell r="AG31" t="str">
            <v>MasterGlenium300</v>
          </cell>
          <cell r="AJ31" t="str">
            <v/>
          </cell>
          <cell r="AM31" t="str">
            <v/>
          </cell>
          <cell r="BA31">
            <v>8556</v>
          </cell>
          <cell r="BC31" t="str">
            <v>CEM I 52,5 N</v>
          </cell>
          <cell r="BD31">
            <v>370</v>
          </cell>
          <cell r="BE31" t="str">
            <v/>
          </cell>
          <cell r="BF31">
            <v>0</v>
          </cell>
          <cell r="BG31" t="str">
            <v/>
          </cell>
          <cell r="BH31">
            <v>0</v>
          </cell>
          <cell r="BN31" t="str">
            <v>RZ 0/4 (0/2.5) MF A f3 a CB SA</v>
          </cell>
          <cell r="BO31">
            <v>223</v>
          </cell>
          <cell r="BP31" t="str">
            <v>RZ 0/4 CF A f3 a CB SA gewassen</v>
          </cell>
          <cell r="BQ31">
            <v>585</v>
          </cell>
          <cell r="BR31" t="str">
            <v/>
          </cell>
          <cell r="BS31" t="str">
            <v/>
          </cell>
          <cell r="BT31" t="str">
            <v>K 2/6,3 Ca4a I f2 NG</v>
          </cell>
          <cell r="BU31">
            <v>234</v>
          </cell>
          <cell r="BV31" t="str">
            <v>K 6,3/20 Ca4a II f1,5 NG</v>
          </cell>
          <cell r="BW31">
            <v>756</v>
          </cell>
          <cell r="BX31" t="str">
            <v/>
          </cell>
          <cell r="BY31" t="str">
            <v/>
          </cell>
          <cell r="CA31" t="str">
            <v>MasterGlenium300</v>
          </cell>
          <cell r="CB31">
            <v>1.2</v>
          </cell>
          <cell r="CC31" t="str">
            <v>MasterGlenium300</v>
          </cell>
          <cell r="CD31">
            <v>0</v>
          </cell>
          <cell r="CE31" t="str">
            <v/>
          </cell>
          <cell r="CF31" t="str">
            <v/>
          </cell>
          <cell r="CG31" t="str">
            <v/>
          </cell>
          <cell r="CH31" t="str">
            <v/>
          </cell>
          <cell r="CQ31">
            <v>187</v>
          </cell>
        </row>
        <row r="32">
          <cell r="A32">
            <v>8566</v>
          </cell>
          <cell r="B32" t="str">
            <v>V.1</v>
          </cell>
          <cell r="E32">
            <v>44350</v>
          </cell>
          <cell r="H32" t="str">
            <v>P50-D</v>
          </cell>
          <cell r="I32" t="str">
            <v>C35/45 GB EE3 S4 20mm CEM I 52,5 N (poly)</v>
          </cell>
          <cell r="K32" t="str">
            <v>C35/45</v>
          </cell>
          <cell r="M32" t="str">
            <v>EE3</v>
          </cell>
          <cell r="N32" t="str">
            <v>S4</v>
          </cell>
          <cell r="T32" t="str">
            <v>CEM I 52,5 N</v>
          </cell>
          <cell r="U32">
            <v>370</v>
          </cell>
          <cell r="AA32" t="str">
            <v/>
          </cell>
          <cell r="AB32" t="str">
            <v/>
          </cell>
          <cell r="AC32" t="str">
            <v/>
          </cell>
          <cell r="AD32" t="str">
            <v/>
          </cell>
          <cell r="AE32" t="str">
            <v/>
          </cell>
          <cell r="AF32" t="str">
            <v/>
          </cell>
          <cell r="AG32" t="str">
            <v>MasterGlenium300</v>
          </cell>
          <cell r="AJ32" t="str">
            <v/>
          </cell>
          <cell r="AM32" t="str">
            <v/>
          </cell>
          <cell r="BA32">
            <v>8566</v>
          </cell>
          <cell r="BC32" t="str">
            <v>CEM I 52,5 N</v>
          </cell>
          <cell r="BD32">
            <v>370</v>
          </cell>
          <cell r="BE32" t="str">
            <v/>
          </cell>
          <cell r="BF32">
            <v>0</v>
          </cell>
          <cell r="BG32" t="str">
            <v/>
          </cell>
          <cell r="BH32">
            <v>0</v>
          </cell>
          <cell r="BN32" t="str">
            <v>RZ 0/4 (0/2.5) MF A f3 a CB SA</v>
          </cell>
          <cell r="BO32">
            <v>223</v>
          </cell>
          <cell r="BP32" t="str">
            <v>RZ 0/4 CF A f3 a CB SA gewassen</v>
          </cell>
          <cell r="BQ32">
            <v>585</v>
          </cell>
          <cell r="BR32" t="str">
            <v/>
          </cell>
          <cell r="BS32" t="str">
            <v/>
          </cell>
          <cell r="BT32" t="str">
            <v>K 2/6,3 Ca4a I f2 NG</v>
          </cell>
          <cell r="BU32">
            <v>234</v>
          </cell>
          <cell r="BV32" t="str">
            <v>K 6,3/20 Ca4a II f1,5 NG</v>
          </cell>
          <cell r="BW32">
            <v>756</v>
          </cell>
          <cell r="BX32" t="str">
            <v/>
          </cell>
          <cell r="BY32" t="str">
            <v/>
          </cell>
          <cell r="CA32" t="str">
            <v>MasterGlenium300</v>
          </cell>
          <cell r="CB32">
            <v>1.2</v>
          </cell>
          <cell r="CC32" t="str">
            <v>MasterGlenium300</v>
          </cell>
          <cell r="CD32">
            <v>0</v>
          </cell>
          <cell r="CE32" t="str">
            <v/>
          </cell>
          <cell r="CF32" t="str">
            <v/>
          </cell>
          <cell r="CG32" t="str">
            <v/>
          </cell>
          <cell r="CH32" t="str">
            <v/>
          </cell>
          <cell r="CQ32">
            <v>187</v>
          </cell>
        </row>
        <row r="33">
          <cell r="A33">
            <v>8766</v>
          </cell>
          <cell r="B33" t="str">
            <v>V.1</v>
          </cell>
          <cell r="E33">
            <v>44350</v>
          </cell>
          <cell r="H33" t="str">
            <v>P50-D</v>
          </cell>
          <cell r="I33" t="str">
            <v>C35/45 GB EE4 S4 20mm CEM I 52,5 N (poly)</v>
          </cell>
          <cell r="K33" t="str">
            <v>C35/45</v>
          </cell>
          <cell r="M33" t="str">
            <v>EE4</v>
          </cell>
          <cell r="N33" t="str">
            <v>S4</v>
          </cell>
          <cell r="T33" t="str">
            <v>CEM I 52,5 N</v>
          </cell>
          <cell r="U33">
            <v>390</v>
          </cell>
          <cell r="AA33" t="str">
            <v/>
          </cell>
          <cell r="AB33" t="str">
            <v/>
          </cell>
          <cell r="AC33" t="str">
            <v/>
          </cell>
          <cell r="AD33" t="str">
            <v/>
          </cell>
          <cell r="AE33" t="str">
            <v/>
          </cell>
          <cell r="AF33" t="str">
            <v/>
          </cell>
          <cell r="AG33" t="str">
            <v>MasterGlenium300</v>
          </cell>
          <cell r="AJ33" t="str">
            <v/>
          </cell>
          <cell r="AM33" t="str">
            <v/>
          </cell>
          <cell r="BA33">
            <v>8766</v>
          </cell>
          <cell r="BC33" t="str">
            <v>CEM I 52,5 N</v>
          </cell>
          <cell r="BD33">
            <v>390</v>
          </cell>
          <cell r="BE33" t="str">
            <v/>
          </cell>
          <cell r="BF33">
            <v>0</v>
          </cell>
          <cell r="BG33" t="str">
            <v/>
          </cell>
          <cell r="BH33">
            <v>0</v>
          </cell>
          <cell r="BN33" t="str">
            <v>RZ 0/4 (0/2.5) MF A f3 a CB SA</v>
          </cell>
          <cell r="BO33">
            <v>180</v>
          </cell>
          <cell r="BP33" t="str">
            <v>RZ 0/4 CF A f3 a CB SA gewassen</v>
          </cell>
          <cell r="BQ33">
            <v>633</v>
          </cell>
          <cell r="BR33" t="str">
            <v/>
          </cell>
          <cell r="BS33" t="str">
            <v/>
          </cell>
          <cell r="BT33" t="str">
            <v>K 2/6,3 Ca4a I f2 NG</v>
          </cell>
          <cell r="BU33">
            <v>235</v>
          </cell>
          <cell r="BV33" t="str">
            <v>K 6,3/20 Ca4a II f1,5 NG</v>
          </cell>
          <cell r="BW33">
            <v>760</v>
          </cell>
          <cell r="BX33" t="str">
            <v/>
          </cell>
          <cell r="BY33" t="str">
            <v/>
          </cell>
          <cell r="CA33" t="str">
            <v>MasterGlenium300</v>
          </cell>
          <cell r="CB33">
            <v>1.7</v>
          </cell>
          <cell r="CC33" t="str">
            <v>MasterGlenium300</v>
          </cell>
          <cell r="CD33">
            <v>0</v>
          </cell>
          <cell r="CE33" t="str">
            <v/>
          </cell>
          <cell r="CF33" t="str">
            <v/>
          </cell>
          <cell r="CG33" t="str">
            <v/>
          </cell>
          <cell r="CH33" t="str">
            <v/>
          </cell>
          <cell r="CQ33">
            <v>177</v>
          </cell>
        </row>
        <row r="34">
          <cell r="A34">
            <v>9001</v>
          </cell>
          <cell r="B34" t="str">
            <v>V.1</v>
          </cell>
          <cell r="E34">
            <v>44418</v>
          </cell>
          <cell r="H34" t="str">
            <v>/</v>
          </cell>
          <cell r="I34" t="str">
            <v>C35/45 GB EE3 S5   7mm CEM III/A 42.5N LA (kift)</v>
          </cell>
          <cell r="K34" t="str">
            <v>C35/45</v>
          </cell>
          <cell r="M34" t="str">
            <v>EE3</v>
          </cell>
          <cell r="N34" t="str">
            <v>S5</v>
          </cell>
          <cell r="T34" t="str">
            <v>CEM III/A 42.5N LA (S≥50%)</v>
          </cell>
          <cell r="U34">
            <v>480</v>
          </cell>
          <cell r="AA34" t="str">
            <v/>
          </cell>
          <cell r="AB34" t="str">
            <v/>
          </cell>
          <cell r="AC34" t="str">
            <v/>
          </cell>
          <cell r="AD34" t="str">
            <v/>
          </cell>
          <cell r="AE34" t="str">
            <v/>
          </cell>
          <cell r="AF34" t="str">
            <v/>
          </cell>
          <cell r="AG34" t="str">
            <v>MasterGlenium300</v>
          </cell>
          <cell r="AJ34" t="str">
            <v/>
          </cell>
          <cell r="AM34" t="str">
            <v/>
          </cell>
          <cell r="BA34">
            <v>9001</v>
          </cell>
          <cell r="BC34" t="str">
            <v>CEM III/A 42.5N LA (S≥50%)</v>
          </cell>
          <cell r="BD34">
            <v>480</v>
          </cell>
          <cell r="BE34" t="str">
            <v/>
          </cell>
          <cell r="BF34">
            <v>0</v>
          </cell>
          <cell r="BG34" t="str">
            <v/>
          </cell>
          <cell r="BH34">
            <v>0</v>
          </cell>
          <cell r="BN34" t="str">
            <v>RZ 0/1 (0/0.315) FF A f3 a CA SA</v>
          </cell>
          <cell r="BO34">
            <v>20</v>
          </cell>
          <cell r="BP34" t="str">
            <v>RZ 0/4 (0/2.5) MF A f3 a CB SA</v>
          </cell>
          <cell r="BQ34">
            <v>440</v>
          </cell>
          <cell r="BR34" t="str">
            <v>RZ 0/4 CF A f3 a CB SA gewassen</v>
          </cell>
          <cell r="BS34">
            <v>509</v>
          </cell>
          <cell r="BT34" t="str">
            <v>K 2/6,3 Ca4a I f2 NG</v>
          </cell>
          <cell r="BU34">
            <v>670</v>
          </cell>
          <cell r="BV34" t="str">
            <v/>
          </cell>
          <cell r="BW34" t="str">
            <v/>
          </cell>
          <cell r="BX34" t="str">
            <v/>
          </cell>
          <cell r="BY34" t="str">
            <v/>
          </cell>
          <cell r="CA34" t="str">
            <v>MasterGlenium300</v>
          </cell>
          <cell r="CB34">
            <v>1.7</v>
          </cell>
          <cell r="CC34" t="str">
            <v>MasterGlenium300</v>
          </cell>
          <cell r="CD34">
            <v>0</v>
          </cell>
          <cell r="CE34" t="str">
            <v/>
          </cell>
          <cell r="CF34" t="str">
            <v/>
          </cell>
          <cell r="CG34" t="str">
            <v/>
          </cell>
          <cell r="CH34" t="str">
            <v/>
          </cell>
          <cell r="CQ34">
            <v>204</v>
          </cell>
        </row>
        <row r="35">
          <cell r="A35">
            <v>9002</v>
          </cell>
          <cell r="B35" t="str">
            <v>V.1</v>
          </cell>
          <cell r="E35">
            <v>44350</v>
          </cell>
          <cell r="H35" t="str">
            <v>/</v>
          </cell>
          <cell r="I35" t="str">
            <v>C35/45 GB EE4 S4 20mm CEM III/A (25%) + CEM I 52.5 (75%) (poly)</v>
          </cell>
          <cell r="K35" t="str">
            <v>C35/45</v>
          </cell>
          <cell r="M35" t="str">
            <v>EE4</v>
          </cell>
          <cell r="N35" t="str">
            <v>S4</v>
          </cell>
          <cell r="T35" t="str">
            <v>CEM III/A (25%) + CEM I 52.5 (75%)</v>
          </cell>
          <cell r="U35">
            <v>390</v>
          </cell>
          <cell r="AA35" t="str">
            <v/>
          </cell>
          <cell r="AB35" t="str">
            <v/>
          </cell>
          <cell r="AC35" t="str">
            <v/>
          </cell>
          <cell r="AD35" t="str">
            <v/>
          </cell>
          <cell r="AE35" t="str">
            <v/>
          </cell>
          <cell r="AF35" t="str">
            <v/>
          </cell>
          <cell r="AG35" t="str">
            <v>MasterGlenium300</v>
          </cell>
          <cell r="AJ35" t="str">
            <v/>
          </cell>
          <cell r="AM35" t="str">
            <v/>
          </cell>
          <cell r="BA35">
            <v>9002</v>
          </cell>
          <cell r="BC35" t="str">
            <v>CEM I 52,5 N</v>
          </cell>
          <cell r="BD35">
            <v>292.5</v>
          </cell>
          <cell r="BE35" t="str">
            <v>CEM III/A 42.5N LA (S≥50%)</v>
          </cell>
          <cell r="BF35">
            <v>97.5</v>
          </cell>
          <cell r="BG35" t="str">
            <v/>
          </cell>
          <cell r="BH35">
            <v>0</v>
          </cell>
          <cell r="BN35" t="str">
            <v>RZ 0/4 (0/2.5) MF A f3 a CB SA</v>
          </cell>
          <cell r="BO35">
            <v>179</v>
          </cell>
          <cell r="BP35" t="str">
            <v>RZ 0/4 CF A f3 a CB SA gewassen</v>
          </cell>
          <cell r="BQ35">
            <v>632</v>
          </cell>
          <cell r="BR35" t="str">
            <v/>
          </cell>
          <cell r="BS35" t="str">
            <v/>
          </cell>
          <cell r="BT35" t="str">
            <v>K 2/6,3 Ca4a I f2 NG</v>
          </cell>
          <cell r="BU35">
            <v>235</v>
          </cell>
          <cell r="BV35" t="str">
            <v>K 6,3/20 Ca4a II f1,5 NG</v>
          </cell>
          <cell r="BW35">
            <v>759</v>
          </cell>
          <cell r="BX35" t="str">
            <v/>
          </cell>
          <cell r="BY35" t="str">
            <v/>
          </cell>
          <cell r="CA35" t="str">
            <v>MasterGlenium300</v>
          </cell>
          <cell r="CB35">
            <v>1.7</v>
          </cell>
          <cell r="CC35" t="str">
            <v>MasterGlenium300</v>
          </cell>
          <cell r="CD35">
            <v>0</v>
          </cell>
          <cell r="CE35" t="str">
            <v/>
          </cell>
          <cell r="CF35" t="str">
            <v/>
          </cell>
          <cell r="CG35" t="str">
            <v/>
          </cell>
          <cell r="CH35" t="str">
            <v/>
          </cell>
          <cell r="CQ35">
            <v>177</v>
          </cell>
        </row>
        <row r="36">
          <cell r="A36">
            <v>9003</v>
          </cell>
          <cell r="B36" t="str">
            <v>V.1</v>
          </cell>
          <cell r="E36">
            <v>44456</v>
          </cell>
          <cell r="H36" t="str">
            <v>/</v>
          </cell>
          <cell r="I36" t="str">
            <v>Wm,min 60 MPa S3 (B9-10 - kwarts+grind - uitwas)</v>
          </cell>
          <cell r="K36" t="str">
            <v>60 MPa</v>
          </cell>
          <cell r="M36" t="str">
            <v>B9-10</v>
          </cell>
          <cell r="N36" t="str">
            <v>S4</v>
          </cell>
          <cell r="T36" t="str">
            <v>CEM III/A 42.5N LA (S≥50%)</v>
          </cell>
          <cell r="U36">
            <v>420</v>
          </cell>
          <cell r="AA36" t="str">
            <v>VEZEL micro PP</v>
          </cell>
          <cell r="AB36" t="str">
            <v>kg/m3</v>
          </cell>
          <cell r="AC36">
            <v>0.6</v>
          </cell>
          <cell r="AD36" t="str">
            <v/>
          </cell>
          <cell r="AE36" t="str">
            <v/>
          </cell>
          <cell r="AF36" t="str">
            <v/>
          </cell>
          <cell r="AG36" t="str">
            <v>MasterGlenium300</v>
          </cell>
          <cell r="AJ36" t="str">
            <v/>
          </cell>
          <cell r="AM36" t="str">
            <v/>
          </cell>
          <cell r="BA36">
            <v>9003</v>
          </cell>
          <cell r="BC36" t="str">
            <v>CEM III/A 42.5N LA (S≥50%)</v>
          </cell>
          <cell r="BD36">
            <v>420</v>
          </cell>
          <cell r="BE36" t="str">
            <v/>
          </cell>
          <cell r="BF36">
            <v>0</v>
          </cell>
          <cell r="BG36" t="str">
            <v/>
          </cell>
          <cell r="BH36">
            <v>0</v>
          </cell>
          <cell r="BN36" t="str">
            <v>RZ 0/4 (0/2.5) MF A f3 a CB SA</v>
          </cell>
          <cell r="BO36">
            <v>175</v>
          </cell>
          <cell r="BP36" t="str">
            <v>RZ 0/4 CF A f3 a CB SA gewassen</v>
          </cell>
          <cell r="BQ36">
            <v>525</v>
          </cell>
          <cell r="BR36" t="str">
            <v/>
          </cell>
          <cell r="BS36" t="str">
            <v/>
          </cell>
          <cell r="BT36" t="str">
            <v>H-kwart gebroken 5/8 wit (Inter-m.)</v>
          </cell>
          <cell r="BU36">
            <v>295</v>
          </cell>
          <cell r="BV36" t="str">
            <v>zeegrind 4/14 Ba I f0.5 CB SA (NHM)</v>
          </cell>
          <cell r="BW36">
            <v>705</v>
          </cell>
          <cell r="BX36" t="str">
            <v/>
          </cell>
          <cell r="BY36" t="str">
            <v/>
          </cell>
          <cell r="CA36" t="str">
            <v>MasterGlenium300</v>
          </cell>
          <cell r="CB36">
            <v>1.6</v>
          </cell>
          <cell r="CC36" t="str">
            <v>MasterGlenium300</v>
          </cell>
          <cell r="CD36">
            <v>0</v>
          </cell>
          <cell r="CE36" t="str">
            <v/>
          </cell>
          <cell r="CF36" t="str">
            <v/>
          </cell>
          <cell r="CG36" t="str">
            <v/>
          </cell>
          <cell r="CH36" t="str">
            <v/>
          </cell>
          <cell r="CQ36">
            <v>195</v>
          </cell>
        </row>
        <row r="37">
          <cell r="A37" t="str">
            <v>9003.A</v>
          </cell>
          <cell r="B37" t="str">
            <v>V.1</v>
          </cell>
          <cell r="E37">
            <v>44350</v>
          </cell>
          <cell r="H37" t="str">
            <v>/</v>
          </cell>
          <cell r="I37" t="str">
            <v>Wm,min 60 MPa S3 (B9-10 - kwarts+grind - uitwas)</v>
          </cell>
          <cell r="K37" t="str">
            <v>60 MPa</v>
          </cell>
          <cell r="M37" t="str">
            <v>B9-10</v>
          </cell>
          <cell r="N37" t="str">
            <v>S4</v>
          </cell>
          <cell r="T37" t="str">
            <v>CEM III/A 42.5N LA (S≥50%)</v>
          </cell>
          <cell r="U37">
            <v>420</v>
          </cell>
          <cell r="AA37" t="str">
            <v>VEZEL micro PP</v>
          </cell>
          <cell r="AB37" t="str">
            <v>kg/m3</v>
          </cell>
          <cell r="AC37">
            <v>0.6</v>
          </cell>
          <cell r="AD37" t="str">
            <v/>
          </cell>
          <cell r="AE37" t="str">
            <v/>
          </cell>
          <cell r="AF37" t="str">
            <v/>
          </cell>
          <cell r="AG37" t="str">
            <v>MasterGlenium300</v>
          </cell>
          <cell r="AJ37" t="str">
            <v/>
          </cell>
          <cell r="AM37" t="str">
            <v/>
          </cell>
          <cell r="BA37" t="str">
            <v>9003.A</v>
          </cell>
          <cell r="BC37" t="str">
            <v>CEM III/A 42.5N LA (S≥50%)</v>
          </cell>
          <cell r="BD37">
            <v>420</v>
          </cell>
          <cell r="BE37" t="str">
            <v/>
          </cell>
          <cell r="BF37">
            <v>0</v>
          </cell>
          <cell r="BG37" t="str">
            <v/>
          </cell>
          <cell r="BH37">
            <v>0</v>
          </cell>
          <cell r="BN37" t="str">
            <v>RZ 0/4 (0/2.5) MF A f3 a CB SA</v>
          </cell>
          <cell r="BO37">
            <v>174</v>
          </cell>
          <cell r="BP37" t="str">
            <v>RZ 0/4 CF A f3 a CB SA gewassen</v>
          </cell>
          <cell r="BQ37">
            <v>526</v>
          </cell>
          <cell r="BR37" t="str">
            <v/>
          </cell>
          <cell r="BS37" t="str">
            <v/>
          </cell>
          <cell r="BT37" t="str">
            <v>H-kwart gebroken 5/8 wit (Inter-m.)</v>
          </cell>
          <cell r="BU37">
            <v>350</v>
          </cell>
          <cell r="BV37" t="str">
            <v>zeegrind 4/14 Ba I f0.5 CB SA (NHM)</v>
          </cell>
          <cell r="BW37">
            <v>660</v>
          </cell>
          <cell r="BX37" t="str">
            <v/>
          </cell>
          <cell r="BY37" t="str">
            <v/>
          </cell>
          <cell r="CA37" t="str">
            <v>MasterGlenium300</v>
          </cell>
          <cell r="CB37">
            <v>1.3</v>
          </cell>
          <cell r="CC37" t="str">
            <v>MasterGlenium300</v>
          </cell>
          <cell r="CD37">
            <v>0</v>
          </cell>
          <cell r="CE37" t="str">
            <v/>
          </cell>
          <cell r="CF37" t="str">
            <v/>
          </cell>
          <cell r="CG37" t="str">
            <v/>
          </cell>
          <cell r="CH37" t="str">
            <v/>
          </cell>
          <cell r="CQ37">
            <v>190</v>
          </cell>
        </row>
        <row r="38">
          <cell r="A38" t="str">
            <v>9003.B</v>
          </cell>
          <cell r="B38" t="str">
            <v>V.1</v>
          </cell>
          <cell r="E38">
            <v>44350</v>
          </cell>
          <cell r="H38" t="str">
            <v>/</v>
          </cell>
          <cell r="I38" t="str">
            <v>Wm,min 60 MPa S3 (B9-10 - kwarts+grind - uitwas)</v>
          </cell>
          <cell r="K38" t="str">
            <v>60 MPa</v>
          </cell>
          <cell r="M38" t="str">
            <v>B9-10</v>
          </cell>
          <cell r="N38" t="str">
            <v>S4</v>
          </cell>
          <cell r="T38" t="str">
            <v>CEM III/A 42.5N LA (S≥50%)</v>
          </cell>
          <cell r="U38">
            <v>420</v>
          </cell>
          <cell r="AA38" t="str">
            <v>VEZEL micro PP</v>
          </cell>
          <cell r="AB38" t="str">
            <v>kg/m3</v>
          </cell>
          <cell r="AC38">
            <v>0.6</v>
          </cell>
          <cell r="AD38" t="str">
            <v/>
          </cell>
          <cell r="AE38" t="str">
            <v/>
          </cell>
          <cell r="AF38" t="str">
            <v/>
          </cell>
          <cell r="AG38" t="str">
            <v>MasterGlenium300</v>
          </cell>
          <cell r="AJ38" t="str">
            <v/>
          </cell>
          <cell r="AM38" t="str">
            <v/>
          </cell>
          <cell r="BA38" t="str">
            <v>9003.B</v>
          </cell>
          <cell r="BC38" t="str">
            <v>CEM III/A 42.5N LA (S≥50%)</v>
          </cell>
          <cell r="BD38">
            <v>420</v>
          </cell>
          <cell r="BE38" t="str">
            <v/>
          </cell>
          <cell r="BF38">
            <v>0</v>
          </cell>
          <cell r="BG38" t="str">
            <v/>
          </cell>
          <cell r="BH38">
            <v>0</v>
          </cell>
          <cell r="BN38" t="str">
            <v>RZ 0/4 (0/2.5) MF A f3 a CB SA</v>
          </cell>
          <cell r="BO38">
            <v>174</v>
          </cell>
          <cell r="BP38" t="str">
            <v>RZ 0/4 CF A f3 a CB SA gewassen</v>
          </cell>
          <cell r="BQ38">
            <v>526</v>
          </cell>
          <cell r="BR38" t="str">
            <v/>
          </cell>
          <cell r="BS38" t="str">
            <v/>
          </cell>
          <cell r="BT38" t="str">
            <v>H-kwart gebroken 5/8 wit (Inter-m.)</v>
          </cell>
          <cell r="BU38">
            <v>297</v>
          </cell>
          <cell r="BV38" t="str">
            <v>zeegrind 4/14 Ba I f0.5 CB SA (NHM)</v>
          </cell>
          <cell r="BW38">
            <v>709</v>
          </cell>
          <cell r="BX38" t="str">
            <v/>
          </cell>
          <cell r="BY38" t="str">
            <v/>
          </cell>
          <cell r="CA38" t="str">
            <v>MasterGlenium300</v>
          </cell>
          <cell r="CB38">
            <v>1.3</v>
          </cell>
          <cell r="CC38" t="str">
            <v>MasterGlenium300</v>
          </cell>
          <cell r="CD38">
            <v>0</v>
          </cell>
          <cell r="CE38" t="str">
            <v/>
          </cell>
          <cell r="CF38" t="str">
            <v/>
          </cell>
          <cell r="CG38" t="str">
            <v/>
          </cell>
          <cell r="CH38" t="str">
            <v/>
          </cell>
          <cell r="CQ38">
            <v>191</v>
          </cell>
        </row>
        <row r="39">
          <cell r="A39" t="str">
            <v>9003.C</v>
          </cell>
          <cell r="B39" t="str">
            <v>V.1</v>
          </cell>
          <cell r="E39">
            <v>44383</v>
          </cell>
          <cell r="H39" t="str">
            <v>/</v>
          </cell>
          <cell r="I39" t="str">
            <v>Wm,min 60 MPa S3 (B9-10 - kwarts+grind - uitwas)</v>
          </cell>
          <cell r="K39" t="str">
            <v>60 MPa</v>
          </cell>
          <cell r="M39" t="str">
            <v>B9-10</v>
          </cell>
          <cell r="N39" t="str">
            <v>S4</v>
          </cell>
          <cell r="T39" t="str">
            <v>CEM III/A 42.5N LA (S≥50%)</v>
          </cell>
          <cell r="U39">
            <v>420</v>
          </cell>
          <cell r="AA39" t="str">
            <v>VEZEL micro PP</v>
          </cell>
          <cell r="AB39" t="str">
            <v>kg/m3</v>
          </cell>
          <cell r="AC39">
            <v>0.6</v>
          </cell>
          <cell r="AD39" t="str">
            <v>KLEUR geel F5300</v>
          </cell>
          <cell r="AE39" t="str">
            <v>% cem</v>
          </cell>
          <cell r="AF39">
            <v>1.19</v>
          </cell>
          <cell r="AG39" t="str">
            <v>MasterGlenium300</v>
          </cell>
          <cell r="AJ39" t="str">
            <v>MasterSet R130</v>
          </cell>
          <cell r="AM39" t="str">
            <v/>
          </cell>
          <cell r="BA39" t="str">
            <v>9003.C</v>
          </cell>
          <cell r="BC39" t="str">
            <v>CEM III/A 42.5N LA (S≥50%)</v>
          </cell>
          <cell r="BD39">
            <v>420</v>
          </cell>
          <cell r="BE39" t="str">
            <v/>
          </cell>
          <cell r="BF39">
            <v>0</v>
          </cell>
          <cell r="BG39" t="str">
            <v/>
          </cell>
          <cell r="BH39">
            <v>0</v>
          </cell>
          <cell r="BN39" t="str">
            <v>RZ 0/4 (0/2.5) MF A f3 a CB SA</v>
          </cell>
          <cell r="BO39">
            <v>175</v>
          </cell>
          <cell r="BP39" t="str">
            <v>RZ 0/4 CF A f3 a CB SA gewassen</v>
          </cell>
          <cell r="BQ39">
            <v>525</v>
          </cell>
          <cell r="BR39" t="str">
            <v/>
          </cell>
          <cell r="BS39" t="str">
            <v/>
          </cell>
          <cell r="BT39" t="str">
            <v>H-kwart gebroken 5/8 wit (Inter-m.)</v>
          </cell>
          <cell r="BU39">
            <v>295</v>
          </cell>
          <cell r="BV39" t="str">
            <v>zeegrind 4/14 Ba I f0.5 CB SA (NHM)</v>
          </cell>
          <cell r="BW39">
            <v>710</v>
          </cell>
          <cell r="BX39" t="str">
            <v/>
          </cell>
          <cell r="BY39" t="str">
            <v/>
          </cell>
          <cell r="CA39" t="str">
            <v>MasterGlenium300</v>
          </cell>
          <cell r="CB39">
            <v>1.4</v>
          </cell>
          <cell r="CC39" t="str">
            <v>MasterGlenium300</v>
          </cell>
          <cell r="CD39">
            <v>0</v>
          </cell>
          <cell r="CE39" t="str">
            <v>MasterSet R130</v>
          </cell>
          <cell r="CF39">
            <v>1</v>
          </cell>
          <cell r="CG39" t="str">
            <v/>
          </cell>
          <cell r="CH39" t="str">
            <v/>
          </cell>
          <cell r="CQ39">
            <v>190</v>
          </cell>
        </row>
        <row r="40">
          <cell r="A40" t="str">
            <v>9003.D</v>
          </cell>
          <cell r="B40" t="str">
            <v>V.1</v>
          </cell>
          <cell r="E40">
            <v>44350</v>
          </cell>
          <cell r="H40" t="str">
            <v>/</v>
          </cell>
          <cell r="I40" t="str">
            <v>Wm,min 60 MPa S3 (B9-10 - kwarts+grind - uitwas)</v>
          </cell>
          <cell r="K40" t="str">
            <v>60 MPa</v>
          </cell>
          <cell r="M40" t="str">
            <v>B9-10</v>
          </cell>
          <cell r="N40" t="str">
            <v>S4</v>
          </cell>
          <cell r="T40" t="str">
            <v>CEM III/A 42.5N LA (S≥50%)</v>
          </cell>
          <cell r="U40">
            <v>420</v>
          </cell>
          <cell r="AA40" t="str">
            <v>VEZEL micro PP</v>
          </cell>
          <cell r="AB40" t="str">
            <v>kg/m3</v>
          </cell>
          <cell r="AC40">
            <v>0.6</v>
          </cell>
          <cell r="AD40" t="str">
            <v>KLEUR geel F5300</v>
          </cell>
          <cell r="AE40" t="str">
            <v>% cem</v>
          </cell>
          <cell r="AF40">
            <v>2.38</v>
          </cell>
          <cell r="AG40" t="str">
            <v>MasterGlenium300</v>
          </cell>
          <cell r="AJ40" t="str">
            <v>MasterSet R130</v>
          </cell>
          <cell r="AM40" t="str">
            <v/>
          </cell>
          <cell r="BA40" t="str">
            <v>9003.D</v>
          </cell>
          <cell r="BC40" t="str">
            <v>CEM III/A 42.5N LA (S≥50%)</v>
          </cell>
          <cell r="BD40">
            <v>420</v>
          </cell>
          <cell r="BE40" t="str">
            <v/>
          </cell>
          <cell r="BF40">
            <v>0</v>
          </cell>
          <cell r="BG40" t="str">
            <v/>
          </cell>
          <cell r="BH40">
            <v>0</v>
          </cell>
          <cell r="BN40" t="str">
            <v>RZ 0/4 (0/2.5) MF A f3 a CB SA</v>
          </cell>
          <cell r="BO40">
            <v>174</v>
          </cell>
          <cell r="BP40" t="str">
            <v>RZ 0/4 CF A f3 a CB SA gewassen</v>
          </cell>
          <cell r="BQ40">
            <v>524</v>
          </cell>
          <cell r="BR40" t="str">
            <v/>
          </cell>
          <cell r="BS40" t="str">
            <v/>
          </cell>
          <cell r="BT40" t="str">
            <v>H-kwart gebroken 5/8 wit (Inter-m.)</v>
          </cell>
          <cell r="BU40">
            <v>296</v>
          </cell>
          <cell r="BV40" t="str">
            <v>zeegrind 4/14 Ba I f0.5 CB SA (NHM)</v>
          </cell>
          <cell r="BW40">
            <v>707</v>
          </cell>
          <cell r="BX40" t="str">
            <v/>
          </cell>
          <cell r="BY40" t="str">
            <v/>
          </cell>
          <cell r="CA40" t="str">
            <v>MasterGlenium300</v>
          </cell>
          <cell r="CB40">
            <v>1.5</v>
          </cell>
          <cell r="CC40" t="str">
            <v>MasterGlenium300</v>
          </cell>
          <cell r="CD40">
            <v>0</v>
          </cell>
          <cell r="CE40" t="str">
            <v>MasterSet R130</v>
          </cell>
          <cell r="CF40">
            <v>1</v>
          </cell>
          <cell r="CG40" t="str">
            <v/>
          </cell>
          <cell r="CH40" t="str">
            <v/>
          </cell>
          <cell r="CQ40">
            <v>190</v>
          </cell>
        </row>
        <row r="41">
          <cell r="A41">
            <v>9004</v>
          </cell>
          <cell r="B41" t="str">
            <v>V.1</v>
          </cell>
          <cell r="E41">
            <v>44483</v>
          </cell>
          <cell r="H41" t="str">
            <v>/</v>
          </cell>
          <cell r="I41" t="str">
            <v>Wm,min 60 MPa S3 (B6-10 - kalkst - manueel)</v>
          </cell>
          <cell r="K41" t="str">
            <v>60 MPa</v>
          </cell>
          <cell r="M41" t="str">
            <v>B6-10</v>
          </cell>
          <cell r="N41" t="str">
            <v>S4</v>
          </cell>
          <cell r="T41" t="str">
            <v>CEM III/A 42.5N LA (S≥50%)</v>
          </cell>
          <cell r="U41">
            <v>420</v>
          </cell>
          <cell r="AA41" t="str">
            <v/>
          </cell>
          <cell r="AB41" t="str">
            <v/>
          </cell>
          <cell r="AC41" t="str">
            <v/>
          </cell>
          <cell r="AD41" t="str">
            <v/>
          </cell>
          <cell r="AE41" t="str">
            <v/>
          </cell>
          <cell r="AF41" t="str">
            <v/>
          </cell>
          <cell r="AG41" t="str">
            <v>MasterGlenium300</v>
          </cell>
          <cell r="AJ41" t="str">
            <v/>
          </cell>
          <cell r="AM41" t="str">
            <v/>
          </cell>
          <cell r="BA41">
            <v>9004</v>
          </cell>
          <cell r="BC41" t="str">
            <v>CEM III/A 42.5N LA (S≥50%)</v>
          </cell>
          <cell r="BD41">
            <v>420</v>
          </cell>
          <cell r="BE41" t="str">
            <v/>
          </cell>
          <cell r="BF41">
            <v>0</v>
          </cell>
          <cell r="BG41" t="str">
            <v/>
          </cell>
          <cell r="BH41">
            <v>0</v>
          </cell>
          <cell r="BN41" t="str">
            <v>RZ 0/4 (0/2.5) MF A f3 a CB SA</v>
          </cell>
          <cell r="BO41">
            <v>173</v>
          </cell>
          <cell r="BP41" t="str">
            <v>RZ 0/4 CF A f3 a CB SA gewassen</v>
          </cell>
          <cell r="BQ41">
            <v>559</v>
          </cell>
          <cell r="BR41" t="str">
            <v/>
          </cell>
          <cell r="BS41" t="str">
            <v/>
          </cell>
          <cell r="BT41" t="str">
            <v>K 2/6,3 Ca4a I f2 NG</v>
          </cell>
          <cell r="BU41">
            <v>227</v>
          </cell>
          <cell r="BV41" t="str">
            <v>K 6,3/20 Ca4a II f1,5 NG</v>
          </cell>
          <cell r="BW41">
            <v>787</v>
          </cell>
          <cell r="BX41" t="str">
            <v/>
          </cell>
          <cell r="BY41" t="str">
            <v/>
          </cell>
          <cell r="CA41" t="str">
            <v>MasterGlenium300</v>
          </cell>
          <cell r="CB41">
            <v>1.5</v>
          </cell>
          <cell r="CC41" t="str">
            <v>MasterGlenium300</v>
          </cell>
          <cell r="CD41">
            <v>0</v>
          </cell>
          <cell r="CE41" t="str">
            <v/>
          </cell>
          <cell r="CF41" t="str">
            <v/>
          </cell>
          <cell r="CG41" t="str">
            <v/>
          </cell>
          <cell r="CH41" t="str">
            <v/>
          </cell>
          <cell r="CQ41">
            <v>187</v>
          </cell>
        </row>
        <row r="42">
          <cell r="A42">
            <v>9005</v>
          </cell>
          <cell r="B42" t="str">
            <v>V.1</v>
          </cell>
          <cell r="E42">
            <v>44354</v>
          </cell>
          <cell r="H42" t="str">
            <v>/</v>
          </cell>
          <cell r="I42" t="str">
            <v>C20/25 OB EI S4 40mm CEM III/A (50%) + CEM I 52.5 (50%) (recyclage)</v>
          </cell>
          <cell r="K42" t="str">
            <v>C20/25</v>
          </cell>
          <cell r="M42" t="str">
            <v>EI</v>
          </cell>
          <cell r="N42" t="str">
            <v>S4</v>
          </cell>
          <cell r="T42" t="str">
            <v>CEM III/A (50%) + CEM I 52.5 (50%)</v>
          </cell>
          <cell r="U42">
            <v>300</v>
          </cell>
          <cell r="AA42" t="str">
            <v/>
          </cell>
          <cell r="AB42" t="str">
            <v/>
          </cell>
          <cell r="AC42" t="str">
            <v/>
          </cell>
          <cell r="AD42" t="str">
            <v/>
          </cell>
          <cell r="AE42" t="str">
            <v/>
          </cell>
          <cell r="AF42" t="str">
            <v/>
          </cell>
          <cell r="AG42" t="str">
            <v>MasterGlenium300</v>
          </cell>
          <cell r="AJ42" t="str">
            <v/>
          </cell>
          <cell r="AM42" t="str">
            <v/>
          </cell>
          <cell r="BA42">
            <v>9005</v>
          </cell>
          <cell r="BC42" t="str">
            <v>CEM I 52,5 N</v>
          </cell>
          <cell r="BD42">
            <v>150</v>
          </cell>
          <cell r="BE42" t="str">
            <v>CEM III/A 42.5N LA (S≥50%)</v>
          </cell>
          <cell r="BF42">
            <v>150</v>
          </cell>
          <cell r="BG42" t="str">
            <v/>
          </cell>
          <cell r="BH42">
            <v>0</v>
          </cell>
          <cell r="BN42" t="str">
            <v/>
          </cell>
          <cell r="BO42" t="str">
            <v/>
          </cell>
          <cell r="BP42" t="str">
            <v/>
          </cell>
          <cell r="BQ42" t="str">
            <v/>
          </cell>
          <cell r="BR42" t="str">
            <v/>
          </cell>
          <cell r="BS42" t="str">
            <v/>
          </cell>
          <cell r="BT42" t="str">
            <v>betongranulaat 0/20</v>
          </cell>
          <cell r="BU42">
            <v>830</v>
          </cell>
          <cell r="BV42" t="str">
            <v>betongranulaat 20/40</v>
          </cell>
          <cell r="BW42">
            <v>380</v>
          </cell>
          <cell r="BX42" t="str">
            <v>brekerzeefgranulaat 0/10</v>
          </cell>
          <cell r="BY42">
            <v>280</v>
          </cell>
          <cell r="CA42" t="str">
            <v>MasterGlenium300</v>
          </cell>
          <cell r="CB42">
            <v>0</v>
          </cell>
          <cell r="CC42" t="str">
            <v>MasterGlenium300</v>
          </cell>
          <cell r="CD42">
            <v>0</v>
          </cell>
          <cell r="CE42" t="str">
            <v/>
          </cell>
          <cell r="CF42" t="str">
            <v/>
          </cell>
          <cell r="CG42" t="str">
            <v/>
          </cell>
          <cell r="CH42" t="str">
            <v/>
          </cell>
          <cell r="CQ42">
            <v>316</v>
          </cell>
        </row>
        <row r="43">
          <cell r="A43" t="str">
            <v>9005.A</v>
          </cell>
          <cell r="B43" t="str">
            <v>V.1</v>
          </cell>
          <cell r="E43">
            <v>44356</v>
          </cell>
          <cell r="H43" t="str">
            <v>/</v>
          </cell>
          <cell r="I43" t="str">
            <v>C20/25 OB EI S4 40mm CEM III/A (50%) + CEM I 52.5 (50%) (recyclage)</v>
          </cell>
          <cell r="K43" t="str">
            <v>C20/25</v>
          </cell>
          <cell r="M43" t="str">
            <v>EI</v>
          </cell>
          <cell r="N43" t="str">
            <v>S4</v>
          </cell>
          <cell r="T43" t="str">
            <v>CEM III/A (50%) + CEM I 52.5 (50%)</v>
          </cell>
          <cell r="U43">
            <v>300</v>
          </cell>
          <cell r="AA43" t="str">
            <v/>
          </cell>
          <cell r="AB43" t="str">
            <v/>
          </cell>
          <cell r="AC43" t="str">
            <v/>
          </cell>
          <cell r="AD43" t="str">
            <v/>
          </cell>
          <cell r="AE43" t="str">
            <v/>
          </cell>
          <cell r="AF43" t="str">
            <v/>
          </cell>
          <cell r="AG43" t="str">
            <v>MasterGlenium300</v>
          </cell>
          <cell r="AJ43" t="str">
            <v/>
          </cell>
          <cell r="AM43" t="str">
            <v/>
          </cell>
          <cell r="BA43" t="str">
            <v>9005.A</v>
          </cell>
          <cell r="BC43" t="str">
            <v>CEM I 52,5 N</v>
          </cell>
          <cell r="BD43">
            <v>150</v>
          </cell>
          <cell r="BE43" t="str">
            <v>CEM III/A 42.5N LA (S≥50%)</v>
          </cell>
          <cell r="BF43">
            <v>150</v>
          </cell>
          <cell r="BG43" t="str">
            <v/>
          </cell>
          <cell r="BH43">
            <v>0</v>
          </cell>
          <cell r="BN43" t="str">
            <v>duinzand 0/1</v>
          </cell>
          <cell r="BO43">
            <v>70</v>
          </cell>
          <cell r="BP43" t="str">
            <v/>
          </cell>
          <cell r="BQ43" t="str">
            <v/>
          </cell>
          <cell r="BR43" t="str">
            <v/>
          </cell>
          <cell r="BS43" t="str">
            <v/>
          </cell>
          <cell r="BT43" t="str">
            <v>betongranulaat 0/20</v>
          </cell>
          <cell r="BU43">
            <v>1350</v>
          </cell>
          <cell r="BV43" t="str">
            <v>betongranulaat 20/40</v>
          </cell>
          <cell r="BW43">
            <v>100</v>
          </cell>
          <cell r="BX43" t="str">
            <v/>
          </cell>
          <cell r="BY43" t="str">
            <v/>
          </cell>
          <cell r="CA43" t="str">
            <v>MasterGlenium300</v>
          </cell>
          <cell r="CB43">
            <v>0</v>
          </cell>
          <cell r="CC43" t="str">
            <v>MasterGlenium300</v>
          </cell>
          <cell r="CD43">
            <v>0</v>
          </cell>
          <cell r="CE43" t="str">
            <v/>
          </cell>
          <cell r="CF43" t="str">
            <v/>
          </cell>
          <cell r="CG43" t="str">
            <v/>
          </cell>
          <cell r="CH43" t="str">
            <v/>
          </cell>
          <cell r="CQ43">
            <v>307</v>
          </cell>
        </row>
        <row r="44">
          <cell r="A44" t="str">
            <v>9005.B</v>
          </cell>
          <cell r="B44" t="str">
            <v>V.1</v>
          </cell>
          <cell r="E44">
            <v>44354</v>
          </cell>
          <cell r="H44" t="str">
            <v>/</v>
          </cell>
          <cell r="I44" t="str">
            <v>C20/25 OB EI S4 40mm CEM III/A (50%) + CEM I 52.5 (50%) (recyclage)</v>
          </cell>
          <cell r="K44" t="str">
            <v>C20/25</v>
          </cell>
          <cell r="M44" t="str">
            <v>EI</v>
          </cell>
          <cell r="N44" t="str">
            <v>S4</v>
          </cell>
          <cell r="T44" t="str">
            <v>CEM III/A (50%) + CEM I 52.5 (50%)</v>
          </cell>
          <cell r="U44">
            <v>300</v>
          </cell>
          <cell r="AA44" t="str">
            <v/>
          </cell>
          <cell r="AB44" t="str">
            <v/>
          </cell>
          <cell r="AC44" t="str">
            <v/>
          </cell>
          <cell r="AD44" t="str">
            <v/>
          </cell>
          <cell r="AE44" t="str">
            <v/>
          </cell>
          <cell r="AF44" t="str">
            <v/>
          </cell>
          <cell r="AG44" t="str">
            <v>MasterGlenium300</v>
          </cell>
          <cell r="AJ44" t="str">
            <v/>
          </cell>
          <cell r="AM44" t="str">
            <v/>
          </cell>
          <cell r="BA44" t="str">
            <v>9005.B</v>
          </cell>
          <cell r="BC44" t="str">
            <v>CEM I 52,5 N</v>
          </cell>
          <cell r="BD44">
            <v>150</v>
          </cell>
          <cell r="BE44" t="str">
            <v>CEM III/A 42.5N LA (S≥50%)</v>
          </cell>
          <cell r="BF44">
            <v>150</v>
          </cell>
          <cell r="BG44" t="str">
            <v/>
          </cell>
          <cell r="BH44">
            <v>0</v>
          </cell>
          <cell r="BN44" t="str">
            <v/>
          </cell>
          <cell r="BO44" t="str">
            <v/>
          </cell>
          <cell r="BP44" t="str">
            <v/>
          </cell>
          <cell r="BQ44" t="str">
            <v/>
          </cell>
          <cell r="BR44" t="str">
            <v/>
          </cell>
          <cell r="BS44" t="str">
            <v/>
          </cell>
          <cell r="BT44" t="str">
            <v>betongranulaat 0/20</v>
          </cell>
          <cell r="BU44">
            <v>1370</v>
          </cell>
          <cell r="BV44" t="str">
            <v>brekerzeefgranulaat 0/10</v>
          </cell>
          <cell r="BW44">
            <v>130</v>
          </cell>
          <cell r="BX44" t="str">
            <v/>
          </cell>
          <cell r="BY44" t="str">
            <v/>
          </cell>
          <cell r="CA44" t="str">
            <v>MasterGlenium300</v>
          </cell>
          <cell r="CB44">
            <v>0</v>
          </cell>
          <cell r="CC44" t="str">
            <v>MasterGlenium300</v>
          </cell>
          <cell r="CD44">
            <v>0</v>
          </cell>
          <cell r="CE44" t="str">
            <v/>
          </cell>
          <cell r="CF44" t="str">
            <v/>
          </cell>
          <cell r="CG44" t="str">
            <v/>
          </cell>
          <cell r="CH44" t="str">
            <v/>
          </cell>
          <cell r="CQ44">
            <v>313</v>
          </cell>
        </row>
        <row r="45">
          <cell r="A45" t="str">
            <v>9005.C</v>
          </cell>
          <cell r="B45" t="str">
            <v>V.1</v>
          </cell>
          <cell r="E45">
            <v>44355</v>
          </cell>
          <cell r="H45" t="str">
            <v>/</v>
          </cell>
          <cell r="I45" t="str">
            <v>C20/25 OB EI S4 40mm CEM III/A (50%) + CEM I 52.5 (50%) (recyclage)</v>
          </cell>
          <cell r="K45" t="str">
            <v>C20/25</v>
          </cell>
          <cell r="M45" t="str">
            <v>EI</v>
          </cell>
          <cell r="N45" t="str">
            <v>S4</v>
          </cell>
          <cell r="T45" t="str">
            <v>CEM III/A (50%) + CEM I 52.5 (50%)</v>
          </cell>
          <cell r="U45">
            <v>300</v>
          </cell>
          <cell r="AA45" t="str">
            <v/>
          </cell>
          <cell r="AB45" t="str">
            <v/>
          </cell>
          <cell r="AC45" t="str">
            <v/>
          </cell>
          <cell r="AD45" t="str">
            <v/>
          </cell>
          <cell r="AE45" t="str">
            <v/>
          </cell>
          <cell r="AF45" t="str">
            <v/>
          </cell>
          <cell r="AG45" t="str">
            <v>MasterGlenium300</v>
          </cell>
          <cell r="AJ45" t="str">
            <v/>
          </cell>
          <cell r="AM45" t="str">
            <v/>
          </cell>
          <cell r="BA45" t="str">
            <v>9005.C</v>
          </cell>
          <cell r="BC45" t="str">
            <v>CEM I 52,5 N</v>
          </cell>
          <cell r="BD45">
            <v>150</v>
          </cell>
          <cell r="BE45" t="str">
            <v>CEM III/A 42.5N LA (S≥50%)</v>
          </cell>
          <cell r="BF45">
            <v>150</v>
          </cell>
          <cell r="BG45" t="str">
            <v/>
          </cell>
          <cell r="BH45">
            <v>0</v>
          </cell>
          <cell r="BN45" t="str">
            <v/>
          </cell>
          <cell r="BO45" t="str">
            <v/>
          </cell>
          <cell r="BP45" t="str">
            <v/>
          </cell>
          <cell r="BQ45" t="str">
            <v/>
          </cell>
          <cell r="BR45" t="str">
            <v/>
          </cell>
          <cell r="BS45" t="str">
            <v/>
          </cell>
          <cell r="BT45" t="str">
            <v>betongranulaat 0/20</v>
          </cell>
          <cell r="BU45">
            <v>1280</v>
          </cell>
          <cell r="BV45" t="str">
            <v>betongranulaat 20/40</v>
          </cell>
          <cell r="BW45">
            <v>100</v>
          </cell>
          <cell r="BX45" t="str">
            <v>brekerzeefgranulaat 0/10</v>
          </cell>
          <cell r="BY45">
            <v>130</v>
          </cell>
          <cell r="CA45" t="str">
            <v>MasterGlenium300</v>
          </cell>
          <cell r="CB45">
            <v>0</v>
          </cell>
          <cell r="CC45" t="str">
            <v>MasterGlenium300</v>
          </cell>
          <cell r="CD45">
            <v>0</v>
          </cell>
          <cell r="CE45" t="str">
            <v/>
          </cell>
          <cell r="CF45" t="str">
            <v/>
          </cell>
          <cell r="CG45" t="str">
            <v/>
          </cell>
          <cell r="CH45" t="str">
            <v/>
          </cell>
          <cell r="CQ45">
            <v>313</v>
          </cell>
        </row>
        <row r="46">
          <cell r="A46" t="str">
            <v>9005.D</v>
          </cell>
          <cell r="B46" t="str">
            <v>V.1</v>
          </cell>
          <cell r="E46">
            <v>44354</v>
          </cell>
          <cell r="H46" t="str">
            <v>/</v>
          </cell>
          <cell r="I46" t="str">
            <v>C20/25 OB EI S4 40mm CEM III/A (50%) + CEM I 52.5 (50%) (recyclage)</v>
          </cell>
          <cell r="K46" t="str">
            <v>C20/25</v>
          </cell>
          <cell r="M46" t="str">
            <v>EI</v>
          </cell>
          <cell r="N46" t="str">
            <v>S4</v>
          </cell>
          <cell r="T46" t="str">
            <v>CEM III/A (50%) + CEM I 52.5 (50%)</v>
          </cell>
          <cell r="U46">
            <v>300</v>
          </cell>
          <cell r="AA46" t="str">
            <v/>
          </cell>
          <cell r="AB46" t="str">
            <v/>
          </cell>
          <cell r="AC46" t="str">
            <v/>
          </cell>
          <cell r="AD46" t="str">
            <v/>
          </cell>
          <cell r="AE46" t="str">
            <v/>
          </cell>
          <cell r="AF46" t="str">
            <v/>
          </cell>
          <cell r="AG46" t="str">
            <v>MasterGlenium300</v>
          </cell>
          <cell r="AJ46" t="str">
            <v/>
          </cell>
          <cell r="AM46" t="str">
            <v/>
          </cell>
          <cell r="BA46" t="str">
            <v>9005.D</v>
          </cell>
          <cell r="BC46" t="str">
            <v>CEM I 52,5 N</v>
          </cell>
          <cell r="BD46">
            <v>150</v>
          </cell>
          <cell r="BE46" t="str">
            <v>CEM III/A 42.5N LA (S≥50%)</v>
          </cell>
          <cell r="BF46">
            <v>150</v>
          </cell>
          <cell r="BG46" t="str">
            <v/>
          </cell>
          <cell r="BH46">
            <v>0</v>
          </cell>
          <cell r="BN46" t="str">
            <v/>
          </cell>
          <cell r="BO46" t="str">
            <v/>
          </cell>
          <cell r="BP46" t="str">
            <v/>
          </cell>
          <cell r="BQ46" t="str">
            <v/>
          </cell>
          <cell r="BR46" t="str">
            <v/>
          </cell>
          <cell r="BS46" t="str">
            <v/>
          </cell>
          <cell r="BT46" t="str">
            <v>betongranulaat 0/20</v>
          </cell>
          <cell r="BU46">
            <v>300</v>
          </cell>
          <cell r="BV46" t="str">
            <v>brekerzeefgranulaat 0/10</v>
          </cell>
          <cell r="BW46">
            <v>280</v>
          </cell>
          <cell r="BX46" t="str">
            <v>asfalt 0/20</v>
          </cell>
          <cell r="BY46">
            <v>940</v>
          </cell>
          <cell r="CA46" t="str">
            <v>MasterGlenium300</v>
          </cell>
          <cell r="CB46">
            <v>0</v>
          </cell>
          <cell r="CC46" t="str">
            <v>MasterGlenium300</v>
          </cell>
          <cell r="CD46">
            <v>0</v>
          </cell>
          <cell r="CE46" t="str">
            <v/>
          </cell>
          <cell r="CF46" t="str">
            <v/>
          </cell>
          <cell r="CG46" t="str">
            <v/>
          </cell>
          <cell r="CH46" t="str">
            <v/>
          </cell>
          <cell r="CQ46">
            <v>282</v>
          </cell>
        </row>
        <row r="47">
          <cell r="A47" t="str">
            <v>9005.E</v>
          </cell>
          <cell r="B47" t="str">
            <v>V.1</v>
          </cell>
          <cell r="E47">
            <v>44355</v>
          </cell>
          <cell r="H47" t="str">
            <v>/</v>
          </cell>
          <cell r="I47" t="str">
            <v>C20/25 OB EI S4 40mm CEM III/A (50%) + CEM I 52.5 (50%) (recyclage)</v>
          </cell>
          <cell r="K47" t="str">
            <v>C20/25</v>
          </cell>
          <cell r="M47" t="str">
            <v>EI</v>
          </cell>
          <cell r="N47" t="str">
            <v>S4</v>
          </cell>
          <cell r="T47" t="str">
            <v>CEM III/A (50%) + CEM I 52.5 (50%)</v>
          </cell>
          <cell r="U47">
            <v>300</v>
          </cell>
          <cell r="AA47" t="str">
            <v/>
          </cell>
          <cell r="AB47" t="str">
            <v/>
          </cell>
          <cell r="AC47" t="str">
            <v/>
          </cell>
          <cell r="AD47" t="str">
            <v/>
          </cell>
          <cell r="AE47" t="str">
            <v/>
          </cell>
          <cell r="AF47" t="str">
            <v/>
          </cell>
          <cell r="AG47" t="str">
            <v>MasterGlenium300</v>
          </cell>
          <cell r="AJ47" t="str">
            <v/>
          </cell>
          <cell r="AM47" t="str">
            <v/>
          </cell>
          <cell r="BA47" t="str">
            <v>9005.E</v>
          </cell>
          <cell r="BC47" t="str">
            <v>CEM I 52,5 N</v>
          </cell>
          <cell r="BD47">
            <v>150</v>
          </cell>
          <cell r="BE47" t="str">
            <v>CEM III/A 42.5N LA (S≥50%)</v>
          </cell>
          <cell r="BF47">
            <v>150</v>
          </cell>
          <cell r="BG47" t="str">
            <v/>
          </cell>
          <cell r="BH47">
            <v>0</v>
          </cell>
          <cell r="BN47" t="str">
            <v/>
          </cell>
          <cell r="BO47" t="str">
            <v/>
          </cell>
          <cell r="BP47" t="str">
            <v/>
          </cell>
          <cell r="BQ47" t="str">
            <v/>
          </cell>
          <cell r="BR47" t="str">
            <v/>
          </cell>
          <cell r="BS47" t="str">
            <v/>
          </cell>
          <cell r="BT47" t="str">
            <v>betongranulaat 0/20</v>
          </cell>
          <cell r="BU47">
            <v>200</v>
          </cell>
          <cell r="BV47" t="str">
            <v>betongranulaat 20/40</v>
          </cell>
          <cell r="BW47">
            <v>100</v>
          </cell>
          <cell r="BX47" t="str">
            <v>brekerzeefgranulaat 0/10</v>
          </cell>
          <cell r="BY47">
            <v>280</v>
          </cell>
          <cell r="CA47" t="str">
            <v>MasterGlenium300</v>
          </cell>
          <cell r="CB47">
            <v>0</v>
          </cell>
          <cell r="CC47" t="str">
            <v>MasterGlenium300</v>
          </cell>
          <cell r="CD47">
            <v>0</v>
          </cell>
          <cell r="CE47" t="str">
            <v/>
          </cell>
          <cell r="CF47" t="str">
            <v/>
          </cell>
          <cell r="CG47" t="str">
            <v/>
          </cell>
          <cell r="CH47" t="str">
            <v/>
          </cell>
          <cell r="CQ47">
            <v>282</v>
          </cell>
        </row>
        <row r="48">
          <cell r="A48">
            <v>9006</v>
          </cell>
          <cell r="B48" t="str">
            <v>V.1</v>
          </cell>
          <cell r="E48">
            <v>44483</v>
          </cell>
          <cell r="H48" t="str">
            <v>/</v>
          </cell>
          <cell r="I48" t="str">
            <v>C35/45 GB EE4 S4 20mm CEM III/A (75%) + CEM I 52.5 (25%) (poly)</v>
          </cell>
          <cell r="K48" t="str">
            <v>C35/45</v>
          </cell>
          <cell r="M48" t="str">
            <v>EE4</v>
          </cell>
          <cell r="N48" t="str">
            <v>S4</v>
          </cell>
          <cell r="T48" t="str">
            <v>CEM III/A (75%) + CEM I 52.5 (25%)</v>
          </cell>
          <cell r="U48">
            <v>390</v>
          </cell>
          <cell r="AA48" t="str">
            <v/>
          </cell>
          <cell r="AB48" t="str">
            <v/>
          </cell>
          <cell r="AC48" t="str">
            <v/>
          </cell>
          <cell r="AD48" t="str">
            <v/>
          </cell>
          <cell r="AE48" t="str">
            <v/>
          </cell>
          <cell r="AF48" t="str">
            <v/>
          </cell>
          <cell r="AG48" t="str">
            <v>MasterGlenium300</v>
          </cell>
          <cell r="AJ48" t="str">
            <v/>
          </cell>
          <cell r="AM48" t="str">
            <v/>
          </cell>
          <cell r="BA48">
            <v>9006</v>
          </cell>
          <cell r="BC48" t="str">
            <v>CEM I 52,5 N</v>
          </cell>
          <cell r="BD48">
            <v>97</v>
          </cell>
          <cell r="BE48" t="str">
            <v>CEM III/A 42.5N LA (S≥50%)</v>
          </cell>
          <cell r="BF48">
            <v>293</v>
          </cell>
          <cell r="BG48" t="str">
            <v/>
          </cell>
          <cell r="BH48">
            <v>0</v>
          </cell>
          <cell r="BN48" t="str">
            <v>RZ 0/4 (0/2.5) MF A f3 a CB SA</v>
          </cell>
          <cell r="BO48">
            <v>179</v>
          </cell>
          <cell r="BP48" t="str">
            <v>RZ 0/4 CF A f3 a CB SA gewassen</v>
          </cell>
          <cell r="BQ48">
            <v>631</v>
          </cell>
          <cell r="BR48" t="str">
            <v/>
          </cell>
          <cell r="BS48" t="str">
            <v/>
          </cell>
          <cell r="BT48" t="str">
            <v>K 2/6,3 Ca4a I f2 NG</v>
          </cell>
          <cell r="BU48">
            <v>234</v>
          </cell>
          <cell r="BV48" t="str">
            <v>K 6,3/20 Ca4a II f1,5 NG</v>
          </cell>
          <cell r="BW48">
            <v>757</v>
          </cell>
          <cell r="BX48" t="str">
            <v/>
          </cell>
          <cell r="BY48" t="str">
            <v/>
          </cell>
          <cell r="CA48" t="str">
            <v>MasterGlenium300</v>
          </cell>
          <cell r="CB48">
            <v>1.7</v>
          </cell>
          <cell r="CC48" t="str">
            <v>MasterGlenium300</v>
          </cell>
          <cell r="CD48">
            <v>0</v>
          </cell>
          <cell r="CE48" t="str">
            <v/>
          </cell>
          <cell r="CF48" t="str">
            <v/>
          </cell>
          <cell r="CG48" t="str">
            <v/>
          </cell>
          <cell r="CH48" t="str">
            <v/>
          </cell>
          <cell r="CQ48">
            <v>177</v>
          </cell>
        </row>
        <row r="49">
          <cell r="A49" t="str">
            <v>TEST</v>
          </cell>
          <cell r="B49" t="str">
            <v>V.0</v>
          </cell>
          <cell r="E49">
            <v>44335</v>
          </cell>
          <cell r="H49" t="str">
            <v>HK-D</v>
          </cell>
          <cell r="K49" t="str">
            <v>C30/37</v>
          </cell>
          <cell r="M49" t="str">
            <v>EE3</v>
          </cell>
          <cell r="N49" t="str">
            <v>S4</v>
          </cell>
          <cell r="T49" t="str">
            <v>CEM III/A 42.5N LA (S≥50%)</v>
          </cell>
          <cell r="U49">
            <v>350</v>
          </cell>
          <cell r="AA49" t="str">
            <v>VEZEL staal</v>
          </cell>
          <cell r="AB49" t="str">
            <v>kg/m3</v>
          </cell>
          <cell r="AC49">
            <v>10</v>
          </cell>
          <cell r="AD49" t="str">
            <v>KLEUR rood</v>
          </cell>
          <cell r="AE49" t="str">
            <v>% cem</v>
          </cell>
          <cell r="AF49">
            <v>3</v>
          </cell>
          <cell r="AG49" t="str">
            <v>MasterGlenium300</v>
          </cell>
          <cell r="AJ49" t="str">
            <v>MasterSet R130</v>
          </cell>
          <cell r="AM49" t="str">
            <v>MasterAir 104</v>
          </cell>
          <cell r="BA49" t="str">
            <v>TEST</v>
          </cell>
          <cell r="BC49" t="str">
            <v>CEM III/A 42.5N LA (S≥50%)</v>
          </cell>
          <cell r="BD49">
            <v>350</v>
          </cell>
          <cell r="BE49" t="str">
            <v/>
          </cell>
          <cell r="BF49">
            <v>0</v>
          </cell>
          <cell r="BG49" t="str">
            <v>VA cat A</v>
          </cell>
          <cell r="BH49">
            <v>20</v>
          </cell>
          <cell r="BN49" t="str">
            <v>RZ 0/4 (0/2.5) MF A f3 a CB SA</v>
          </cell>
          <cell r="BO49">
            <v>273</v>
          </cell>
          <cell r="BP49" t="str">
            <v>RZ 0/4 CF A f3 a CB SA gewassen</v>
          </cell>
          <cell r="BQ49">
            <v>544</v>
          </cell>
          <cell r="BR49" t="str">
            <v/>
          </cell>
          <cell r="BS49" t="str">
            <v/>
          </cell>
          <cell r="BT49" t="str">
            <v>K 2/6,3 Ca4a I f2 NG</v>
          </cell>
          <cell r="BU49">
            <v>177</v>
          </cell>
          <cell r="BV49" t="str">
            <v>K 6,3/20 Ca4a II f1,5 NG</v>
          </cell>
          <cell r="BW49">
            <v>777</v>
          </cell>
          <cell r="BX49" t="str">
            <v/>
          </cell>
          <cell r="BY49" t="str">
            <v/>
          </cell>
          <cell r="CA49" t="str">
            <v>MasterGlenium300</v>
          </cell>
          <cell r="CB49">
            <v>1.7</v>
          </cell>
          <cell r="CC49" t="str">
            <v>MasterGlenium300</v>
          </cell>
          <cell r="CD49">
            <v>0.5</v>
          </cell>
          <cell r="CE49" t="str">
            <v>MasterSet R130</v>
          </cell>
          <cell r="CF49">
            <v>1</v>
          </cell>
          <cell r="CG49" t="str">
            <v>MasterAir 104</v>
          </cell>
          <cell r="CH49">
            <v>0.5</v>
          </cell>
          <cell r="CQ49">
            <v>177</v>
          </cell>
        </row>
        <row r="51">
          <cell r="A51">
            <v>1000</v>
          </cell>
          <cell r="I51" t="str">
            <v>C30/37 EE1 S4</v>
          </cell>
          <cell r="K51" t="str">
            <v>C30/37</v>
          </cell>
          <cell r="M51" t="str">
            <v>EE1</v>
          </cell>
          <cell r="N51" t="str">
            <v>S4</v>
          </cell>
          <cell r="T51" t="str">
            <v>CEM III/A 42.5N LA (S&lt;50%)</v>
          </cell>
          <cell r="U51">
            <v>320</v>
          </cell>
          <cell r="AG51" t="str">
            <v>MasterGlenium300</v>
          </cell>
        </row>
        <row r="52">
          <cell r="A52">
            <v>1001</v>
          </cell>
          <cell r="B52" t="str">
            <v>V.0</v>
          </cell>
          <cell r="E52">
            <v>44942</v>
          </cell>
          <cell r="H52" t="str">
            <v>HK-D</v>
          </cell>
          <cell r="K52" t="str">
            <v>C30/37</v>
          </cell>
          <cell r="M52" t="str">
            <v>EE2</v>
          </cell>
          <cell r="N52" t="str">
            <v>S4</v>
          </cell>
          <cell r="T52" t="str">
            <v>CEM I 52,5 N</v>
          </cell>
          <cell r="U52">
            <v>300</v>
          </cell>
          <cell r="AG52" t="str">
            <v>MasterGlenium300</v>
          </cell>
          <cell r="BA52">
            <v>9006</v>
          </cell>
          <cell r="BC52" t="str">
            <v>CEM III/A 42,5 N LA</v>
          </cell>
          <cell r="BD52">
            <v>350</v>
          </cell>
          <cell r="BN52" t="str">
            <v>Sable Mixte 0/4</v>
          </cell>
          <cell r="BO52">
            <v>350</v>
          </cell>
          <cell r="BP52" t="str">
            <v>Poussier Lavé 0/4 Moha</v>
          </cell>
          <cell r="BQ52">
            <v>489</v>
          </cell>
          <cell r="BR52" t="str">
            <v/>
          </cell>
          <cell r="BS52" t="str">
            <v/>
          </cell>
          <cell r="BT52" t="str">
            <v>2/6,3 Cb4 I f2 NG</v>
          </cell>
          <cell r="BU52">
            <v>200</v>
          </cell>
          <cell r="BV52" t="str">
            <v>6,3/20 Cb4 I f1,5 NG</v>
          </cell>
          <cell r="BW52">
            <v>764</v>
          </cell>
          <cell r="BX52" t="str">
            <v>6,3/20 Cb4 I f1,5 NG</v>
          </cell>
          <cell r="BY52">
            <v>764</v>
          </cell>
          <cell r="CA52" t="str">
            <v>Easy 41</v>
          </cell>
          <cell r="CB52">
            <v>0</v>
          </cell>
          <cell r="CC52" t="str">
            <v>Easy 41</v>
          </cell>
          <cell r="CD52">
            <v>0</v>
          </cell>
          <cell r="CE52" t="str">
            <v>MPH 373</v>
          </cell>
          <cell r="CF52">
            <v>0</v>
          </cell>
        </row>
        <row r="53">
          <cell r="A53">
            <v>2</v>
          </cell>
          <cell r="B53" t="str">
            <v>V.0</v>
          </cell>
          <cell r="E53">
            <v>45075</v>
          </cell>
          <cell r="H53" t="str">
            <v>HK-D</v>
          </cell>
          <cell r="I53" t="str">
            <v xml:space="preserve">C35/45 GB EE4 S4 20mm CEM III/A </v>
          </cell>
          <cell r="K53" t="str">
            <v>C35/45</v>
          </cell>
          <cell r="M53" t="str">
            <v>EE3</v>
          </cell>
          <cell r="N53" t="str">
            <v>S4</v>
          </cell>
          <cell r="T53" t="str">
            <v>CEM III/A 42.5N LA (S&lt;50%)</v>
          </cell>
          <cell r="U53">
            <v>340</v>
          </cell>
          <cell r="AG53" t="str">
            <v>MasterGlenium300</v>
          </cell>
          <cell r="BA53">
            <v>2</v>
          </cell>
          <cell r="BC53" t="str">
            <v>CEM III/A 42,5 N LA</v>
          </cell>
          <cell r="BD53">
            <v>328</v>
          </cell>
          <cell r="BN53" t="str">
            <v>Sable Mixte 0/4</v>
          </cell>
          <cell r="BO53">
            <v>365</v>
          </cell>
          <cell r="BP53" t="str">
            <v>Poussier Lavé 0/4 Moha</v>
          </cell>
          <cell r="BQ53">
            <v>510</v>
          </cell>
          <cell r="BR53" t="str">
            <v/>
          </cell>
          <cell r="BS53" t="str">
            <v/>
          </cell>
          <cell r="BT53" t="str">
            <v>2/6,3 Cb4 I f2 NG</v>
          </cell>
          <cell r="BU53">
            <v>208</v>
          </cell>
          <cell r="BV53" t="str">
            <v>6,3/20 Cb4 I f1,5 NG</v>
          </cell>
          <cell r="BW53">
            <v>796</v>
          </cell>
          <cell r="BX53" t="str">
            <v>6,3/20 Cb4 I f1,5 NG</v>
          </cell>
          <cell r="BY53">
            <v>796</v>
          </cell>
          <cell r="CA53" t="str">
            <v>Easy 41</v>
          </cell>
          <cell r="CB53">
            <v>1.2705882352941178</v>
          </cell>
          <cell r="CC53" t="str">
            <v>Easy 41</v>
          </cell>
          <cell r="CD53">
            <v>1.2705882352941178</v>
          </cell>
          <cell r="CE53" t="str">
            <v>MPH 373</v>
          </cell>
          <cell r="CF53">
            <v>0</v>
          </cell>
        </row>
        <row r="54">
          <cell r="BA54" t="str">
            <v>C37T050BAS3D20C3A4LAR2PREV2</v>
          </cell>
          <cell r="BC54" t="str">
            <v>CEM III/A 42,5 N LA</v>
          </cell>
          <cell r="BD54">
            <v>365</v>
          </cell>
          <cell r="BN54" t="str">
            <v>Sable Mixte 0/4</v>
          </cell>
          <cell r="BO54">
            <v>357</v>
          </cell>
          <cell r="BP54" t="str">
            <v>Poussier Lavé 0/4 Moha</v>
          </cell>
          <cell r="BQ54">
            <v>499</v>
          </cell>
          <cell r="BR54" t="str">
            <v/>
          </cell>
          <cell r="BS54" t="str">
            <v/>
          </cell>
          <cell r="BT54" t="str">
            <v>2/6,3 Cb4 I f2 NG</v>
          </cell>
          <cell r="BU54">
            <v>204</v>
          </cell>
          <cell r="BV54" t="str">
            <v>6,3/20 Cb4 I f1,5 NG</v>
          </cell>
          <cell r="BW54">
            <v>779</v>
          </cell>
          <cell r="BX54" t="str">
            <v>6,3/20 Cb4 I f1,5 NG</v>
          </cell>
          <cell r="BY54">
            <v>779</v>
          </cell>
          <cell r="CA54" t="str">
            <v>Easy 41</v>
          </cell>
          <cell r="CB54">
            <v>1.27</v>
          </cell>
          <cell r="CC54" t="str">
            <v>Easy 41</v>
          </cell>
          <cell r="CD54">
            <v>1.27</v>
          </cell>
          <cell r="CE54" t="str">
            <v>MPH 373</v>
          </cell>
          <cell r="CF54">
            <v>0</v>
          </cell>
        </row>
        <row r="55">
          <cell r="BA55" t="str">
            <v>C45T045BAS3D20C3A4LAR3PREV2</v>
          </cell>
          <cell r="BC55" t="str">
            <v>CEM III/A 42,5 N LA</v>
          </cell>
          <cell r="BD55">
            <v>400</v>
          </cell>
          <cell r="BN55" t="str">
            <v>Sable Mixte 0/4</v>
          </cell>
          <cell r="BO55">
            <v>353</v>
          </cell>
          <cell r="BP55" t="str">
            <v>Poussier Lavé 0/4 Moha</v>
          </cell>
          <cell r="BQ55">
            <v>493</v>
          </cell>
          <cell r="BR55" t="str">
            <v/>
          </cell>
          <cell r="BS55" t="str">
            <v/>
          </cell>
          <cell r="BT55" t="str">
            <v>2/6,3 Cb4 I f2 NG</v>
          </cell>
          <cell r="BU55">
            <v>201</v>
          </cell>
          <cell r="BV55" t="str">
            <v>6,3/20 Cb4 I f1,5 NG</v>
          </cell>
          <cell r="BW55">
            <v>769</v>
          </cell>
          <cell r="BX55" t="str">
            <v>6,3/20 Cb4 I f1,5 NG</v>
          </cell>
          <cell r="BY55">
            <v>769</v>
          </cell>
          <cell r="CA55" t="str">
            <v>Easy 41</v>
          </cell>
          <cell r="CB55">
            <v>1.59</v>
          </cell>
          <cell r="CC55" t="str">
            <v>Easy 41</v>
          </cell>
          <cell r="CD55">
            <v>1.59</v>
          </cell>
          <cell r="CE55" t="str">
            <v>MPH 373</v>
          </cell>
          <cell r="CF5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F1">
            <v>1</v>
          </cell>
          <cell r="G1">
            <v>2</v>
          </cell>
          <cell r="H1">
            <v>3</v>
          </cell>
          <cell r="I1">
            <v>4</v>
          </cell>
          <cell r="J1">
            <v>5</v>
          </cell>
          <cell r="K1">
            <v>6</v>
          </cell>
          <cell r="L1">
            <v>7</v>
          </cell>
          <cell r="M1">
            <v>8</v>
          </cell>
          <cell r="N1">
            <v>9</v>
          </cell>
          <cell r="P1" t="str">
            <v>-</v>
          </cell>
        </row>
        <row r="2">
          <cell r="F2" t="str">
            <v>U.01</v>
          </cell>
          <cell r="G2" t="str">
            <v>U.01</v>
          </cell>
          <cell r="H2" t="str">
            <v>U.01</v>
          </cell>
          <cell r="I2" t="str">
            <v>U.01</v>
          </cell>
          <cell r="J2" t="str">
            <v>U.01</v>
          </cell>
          <cell r="K2" t="str">
            <v>B.01</v>
          </cell>
          <cell r="L2" t="str">
            <v>S.02</v>
          </cell>
          <cell r="P2" t="str">
            <v>-</v>
          </cell>
        </row>
        <row r="3">
          <cell r="F3" t="str">
            <v>DE WITTE</v>
          </cell>
          <cell r="G3" t="str">
            <v>DE WITTE</v>
          </cell>
          <cell r="H3" t="str">
            <v>DE WITTE</v>
          </cell>
          <cell r="I3" t="str">
            <v>DE WITTE</v>
          </cell>
          <cell r="J3" t="str">
            <v>DE WITTE</v>
          </cell>
          <cell r="K3" t="str">
            <v>DE WITTE - DE BREE</v>
          </cell>
          <cell r="L3" t="str">
            <v>NORRE - BEHAEGEL</v>
          </cell>
          <cell r="P3" t="str">
            <v>-</v>
          </cell>
        </row>
        <row r="4">
          <cell r="F4" t="str">
            <v>DUINBERGEN Astridplein</v>
          </cell>
          <cell r="G4" t="str">
            <v>DUINBERGEN Astridplein</v>
          </cell>
          <cell r="H4" t="str">
            <v>DUINBERGEN Astridplein</v>
          </cell>
          <cell r="I4" t="str">
            <v>DUINBERGEN Astridplein</v>
          </cell>
          <cell r="J4" t="str">
            <v>DUINBERGEN Astridplein</v>
          </cell>
          <cell r="K4" t="str">
            <v>OOSTENDE</v>
          </cell>
          <cell r="L4" t="str">
            <v>AFHALING Knesselaere</v>
          </cell>
          <cell r="P4" t="str">
            <v>-</v>
          </cell>
        </row>
        <row r="5">
          <cell r="F5" t="str">
            <v>In uitvoering</v>
          </cell>
          <cell r="G5" t="str">
            <v>In uitvoering</v>
          </cell>
          <cell r="H5" t="str">
            <v>In uitvoering</v>
          </cell>
          <cell r="I5" t="str">
            <v>In uitvoering</v>
          </cell>
          <cell r="J5" t="str">
            <v>In uitvoering</v>
          </cell>
          <cell r="K5" t="str">
            <v>In uitvoering</v>
          </cell>
          <cell r="L5" t="str">
            <v>In uitvoering</v>
          </cell>
          <cell r="P5" t="str">
            <v>-</v>
          </cell>
        </row>
        <row r="6">
          <cell r="F6" t="str">
            <v>vóór zomerverlof 2021</v>
          </cell>
          <cell r="G6" t="str">
            <v>vóór zomerverlof 2021</v>
          </cell>
          <cell r="H6" t="str">
            <v>vóór zomerverlof 2021</v>
          </cell>
          <cell r="I6" t="str">
            <v>vóór zomerverlof 2021</v>
          </cell>
          <cell r="J6" t="str">
            <v>aug-sept 2021</v>
          </cell>
          <cell r="K6">
            <v>44369</v>
          </cell>
          <cell r="L6" t="str">
            <v>???</v>
          </cell>
          <cell r="P6" t="str">
            <v>-</v>
          </cell>
        </row>
        <row r="7">
          <cell r="F7" t="str">
            <v>…</v>
          </cell>
          <cell r="G7" t="str">
            <v>…</v>
          </cell>
          <cell r="H7" t="str">
            <v>…</v>
          </cell>
          <cell r="I7" t="str">
            <v>…</v>
          </cell>
          <cell r="J7" t="str">
            <v>…</v>
          </cell>
          <cell r="K7">
            <v>2022</v>
          </cell>
          <cell r="L7" t="str">
            <v>???</v>
          </cell>
          <cell r="P7" t="str">
            <v>-</v>
          </cell>
        </row>
        <row r="8">
          <cell r="P8" t="str">
            <v>-</v>
          </cell>
        </row>
        <row r="9">
          <cell r="P9" t="str">
            <v>-</v>
          </cell>
        </row>
        <row r="10">
          <cell r="F10">
            <v>180</v>
          </cell>
          <cell r="G10">
            <v>180</v>
          </cell>
          <cell r="H10">
            <v>180</v>
          </cell>
          <cell r="I10">
            <v>180</v>
          </cell>
          <cell r="J10">
            <v>160</v>
          </cell>
          <cell r="K10">
            <v>700</v>
          </cell>
          <cell r="L10">
            <v>230</v>
          </cell>
          <cell r="M10">
            <v>0</v>
          </cell>
          <cell r="N10">
            <v>0</v>
          </cell>
          <cell r="P10" t="str">
            <v>-</v>
          </cell>
        </row>
        <row r="11">
          <cell r="F11">
            <v>10.800000000000011</v>
          </cell>
          <cell r="G11">
            <v>10.800000000000011</v>
          </cell>
          <cell r="H11">
            <v>10.800000000000011</v>
          </cell>
          <cell r="I11">
            <v>10.800000000000011</v>
          </cell>
          <cell r="J11">
            <v>3.5999999999999943</v>
          </cell>
          <cell r="K11">
            <v>0</v>
          </cell>
          <cell r="L11">
            <v>0</v>
          </cell>
          <cell r="P11" t="str">
            <v>-</v>
          </cell>
        </row>
        <row r="12">
          <cell r="F12">
            <v>169.2</v>
          </cell>
          <cell r="G12">
            <v>169.2</v>
          </cell>
          <cell r="H12">
            <v>169.2</v>
          </cell>
          <cell r="I12">
            <v>169.2</v>
          </cell>
          <cell r="J12">
            <v>156.4</v>
          </cell>
          <cell r="K12">
            <v>700</v>
          </cell>
          <cell r="L12">
            <v>230</v>
          </cell>
          <cell r="M12">
            <v>0</v>
          </cell>
          <cell r="N12">
            <v>0</v>
          </cell>
          <cell r="P12" t="str">
            <v>-</v>
          </cell>
        </row>
        <row r="13">
          <cell r="F13">
            <v>846</v>
          </cell>
          <cell r="G13">
            <v>846</v>
          </cell>
          <cell r="H13">
            <v>846</v>
          </cell>
          <cell r="I13">
            <v>846</v>
          </cell>
          <cell r="J13">
            <v>782</v>
          </cell>
          <cell r="K13">
            <v>3500</v>
          </cell>
          <cell r="L13" t="str">
            <v xml:space="preserve"> </v>
          </cell>
          <cell r="P13" t="str">
            <v>-</v>
          </cell>
        </row>
        <row r="14">
          <cell r="F14">
            <v>20</v>
          </cell>
          <cell r="G14">
            <v>20</v>
          </cell>
          <cell r="H14">
            <v>20</v>
          </cell>
          <cell r="I14">
            <v>20</v>
          </cell>
          <cell r="J14">
            <v>20</v>
          </cell>
          <cell r="K14">
            <v>20</v>
          </cell>
          <cell r="L14" t="str">
            <v xml:space="preserve"> </v>
          </cell>
          <cell r="P14" t="str">
            <v>-</v>
          </cell>
        </row>
        <row r="15">
          <cell r="F15" t="str">
            <v>Manueel</v>
          </cell>
          <cell r="G15" t="str">
            <v>Manueel</v>
          </cell>
          <cell r="H15" t="str">
            <v>Manueel</v>
          </cell>
          <cell r="I15" t="str">
            <v>Manueel</v>
          </cell>
          <cell r="J15" t="str">
            <v>Manueel</v>
          </cell>
          <cell r="K15" t="str">
            <v>Manueel</v>
          </cell>
          <cell r="L15" t="str">
            <v>Machinaal</v>
          </cell>
          <cell r="P15" t="str">
            <v>-</v>
          </cell>
        </row>
        <row r="16">
          <cell r="F16" t="str">
            <v>9003.A</v>
          </cell>
          <cell r="G16" t="str">
            <v>9003.B</v>
          </cell>
          <cell r="H16" t="str">
            <v>9003.C</v>
          </cell>
          <cell r="I16" t="str">
            <v>9003.D</v>
          </cell>
          <cell r="J16">
            <v>9003</v>
          </cell>
          <cell r="K16">
            <v>6568</v>
          </cell>
          <cell r="L16">
            <v>6951</v>
          </cell>
          <cell r="P16" t="str">
            <v>-</v>
          </cell>
        </row>
        <row r="17">
          <cell r="F17" t="str">
            <v>V.1</v>
          </cell>
          <cell r="G17" t="str">
            <v>V.1</v>
          </cell>
          <cell r="H17" t="str">
            <v>V.1</v>
          </cell>
          <cell r="I17" t="str">
            <v>V.1</v>
          </cell>
          <cell r="J17" t="str">
            <v>V.1</v>
          </cell>
          <cell r="K17" t="str">
            <v>V.1</v>
          </cell>
          <cell r="L17" t="str">
            <v>V.1</v>
          </cell>
          <cell r="M17" t="str">
            <v/>
          </cell>
          <cell r="N17" t="str">
            <v/>
          </cell>
          <cell r="P17" t="str">
            <v>-</v>
          </cell>
        </row>
        <row r="18">
          <cell r="F18">
            <v>44350</v>
          </cell>
          <cell r="G18">
            <v>44350</v>
          </cell>
          <cell r="H18">
            <v>44383</v>
          </cell>
          <cell r="I18">
            <v>44350</v>
          </cell>
          <cell r="J18">
            <v>44456</v>
          </cell>
          <cell r="K18">
            <v>44350</v>
          </cell>
          <cell r="L18">
            <v>44350</v>
          </cell>
          <cell r="M18" t="str">
            <v/>
          </cell>
          <cell r="N18" t="str">
            <v/>
          </cell>
          <cell r="P18" t="str">
            <v>-</v>
          </cell>
        </row>
        <row r="19">
          <cell r="F19" t="str">
            <v>/</v>
          </cell>
          <cell r="G19" t="str">
            <v>/</v>
          </cell>
          <cell r="H19" t="str">
            <v>/</v>
          </cell>
          <cell r="I19" t="str">
            <v>/</v>
          </cell>
          <cell r="J19" t="str">
            <v>/</v>
          </cell>
          <cell r="K19" t="str">
            <v>HK-D</v>
          </cell>
          <cell r="L19" t="str">
            <v>HK-A</v>
          </cell>
          <cell r="M19" t="str">
            <v/>
          </cell>
          <cell r="N19" t="str">
            <v/>
          </cell>
        </row>
        <row r="20">
          <cell r="F20" t="str">
            <v>Wm,min 60 MPa S3 (B9-10 - kwarts+grind - uitwas)</v>
          </cell>
          <cell r="G20" t="str">
            <v>Wm,min 60 MPa S3 (B9-10 - kwarts+grind - uitwas)</v>
          </cell>
          <cell r="H20" t="str">
            <v>Wm,min 60 MPa S3 (B9-10 - kwarts+grind - uitwas)</v>
          </cell>
          <cell r="I20" t="str">
            <v>Wm,min 60 MPa S3 (B9-10 - kwarts+grind - uitwas)</v>
          </cell>
          <cell r="J20" t="str">
            <v>Wm,min 60 MPa S3 (B9-10 - kwarts+grind - uitwas)</v>
          </cell>
          <cell r="K20" t="str">
            <v>C35/45 GB EE3 S4 20mm CEM III/A 42.5N LA (poly+macroPPvezel)</v>
          </cell>
          <cell r="L20" t="str">
            <v>Wm,min 50 MPa S1 (Lijnv. element - LBV - kalkst)</v>
          </cell>
          <cell r="M20" t="str">
            <v/>
          </cell>
          <cell r="N20" t="str">
            <v/>
          </cell>
        </row>
        <row r="21">
          <cell r="F21" t="str">
            <v>60 MPa</v>
          </cell>
          <cell r="G21" t="str">
            <v>60 MPa</v>
          </cell>
          <cell r="H21" t="str">
            <v>60 MPa</v>
          </cell>
          <cell r="I21" t="str">
            <v>60 MPa</v>
          </cell>
          <cell r="J21" t="str">
            <v>60 MPa</v>
          </cell>
          <cell r="K21" t="str">
            <v>C35/45</v>
          </cell>
          <cell r="L21" t="str">
            <v>50 MPa</v>
          </cell>
          <cell r="M21" t="str">
            <v/>
          </cell>
          <cell r="N21" t="str">
            <v/>
          </cell>
          <cell r="P21" t="str">
            <v>-</v>
          </cell>
        </row>
        <row r="22">
          <cell r="F22" t="str">
            <v>B9-10</v>
          </cell>
          <cell r="G22" t="str">
            <v>B9-10</v>
          </cell>
          <cell r="H22" t="str">
            <v>B9-10</v>
          </cell>
          <cell r="I22" t="str">
            <v>B9-10</v>
          </cell>
          <cell r="J22" t="str">
            <v>B9-10</v>
          </cell>
          <cell r="K22" t="str">
            <v>EE3</v>
          </cell>
          <cell r="L22" t="str">
            <v>Lijnv. element - LBV</v>
          </cell>
          <cell r="M22" t="str">
            <v/>
          </cell>
          <cell r="N22" t="str">
            <v/>
          </cell>
          <cell r="P22" t="str">
            <v>-</v>
          </cell>
        </row>
        <row r="23">
          <cell r="P23" t="str">
            <v>-</v>
          </cell>
        </row>
        <row r="24">
          <cell r="F24" t="str">
            <v>S4</v>
          </cell>
          <cell r="G24" t="str">
            <v>S4</v>
          </cell>
          <cell r="H24" t="str">
            <v>S4</v>
          </cell>
          <cell r="I24" t="str">
            <v>S4</v>
          </cell>
          <cell r="J24" t="str">
            <v>S4</v>
          </cell>
          <cell r="K24" t="str">
            <v>S4</v>
          </cell>
          <cell r="L24" t="str">
            <v>S1</v>
          </cell>
          <cell r="M24" t="str">
            <v/>
          </cell>
          <cell r="N24" t="str">
            <v/>
          </cell>
          <cell r="P24" t="str">
            <v>-</v>
          </cell>
        </row>
        <row r="25">
          <cell r="F25" t="str">
            <v>Nee</v>
          </cell>
          <cell r="G25" t="str">
            <v>Nee</v>
          </cell>
          <cell r="H25" t="str">
            <v>Nee</v>
          </cell>
          <cell r="I25" t="str">
            <v>Nee</v>
          </cell>
          <cell r="J25" t="str">
            <v>Nee</v>
          </cell>
          <cell r="K25" t="str">
            <v>Nee</v>
          </cell>
          <cell r="L25" t="str">
            <v>Ja</v>
          </cell>
          <cell r="P25" t="str">
            <v>-</v>
          </cell>
        </row>
        <row r="26">
          <cell r="P26" t="str">
            <v>-</v>
          </cell>
        </row>
        <row r="27">
          <cell r="P27" t="str">
            <v>-</v>
          </cell>
        </row>
        <row r="28">
          <cell r="P28" t="str">
            <v>-</v>
          </cell>
        </row>
        <row r="29">
          <cell r="P29" t="str">
            <v>-</v>
          </cell>
        </row>
        <row r="30">
          <cell r="F30" t="str">
            <v>4 ≤ d ≤ 10 mm; 16 ≤ D ≤ 20 mm</v>
          </cell>
          <cell r="G30" t="str">
            <v>4 ≤ d ≤ 10 mm; 16 ≤ D ≤ 20 mm</v>
          </cell>
          <cell r="H30" t="str">
            <v>4 ≤ d ≤ 10 mm; 16 ≤ D ≤ 20 mm</v>
          </cell>
          <cell r="I30" t="str">
            <v>4 ≤ d ≤ 10 mm; 16 ≤ D ≤ 20 mm</v>
          </cell>
          <cell r="J30" t="str">
            <v>4 ≤ d ≤ 10 mm; 16 ≤ D ≤ 20 mm</v>
          </cell>
          <cell r="K30" t="str">
            <v xml:space="preserve"> </v>
          </cell>
          <cell r="L30" t="str">
            <v xml:space="preserve"> </v>
          </cell>
          <cell r="P30" t="str">
            <v>-</v>
          </cell>
        </row>
        <row r="31">
          <cell r="F31" t="str">
            <v>H-kwart gebroken 5/8 wit (Inter-m.)</v>
          </cell>
          <cell r="G31" t="str">
            <v>H-kwart gebroken 5/8 wit (Inter-m.)</v>
          </cell>
          <cell r="H31" t="str">
            <v>H-kwart gebroken 5/8 wit (Inter-m.)</v>
          </cell>
          <cell r="I31" t="str">
            <v>H-kwart gebroken 5/8 wit (Inter-m.)</v>
          </cell>
          <cell r="J31" t="str">
            <v>H-kwart gebroken 5/8 wit (Inter-m.)</v>
          </cell>
          <cell r="K31" t="str">
            <v>K 2/6,3 Ca4a I f2 NG</v>
          </cell>
          <cell r="L31" t="str">
            <v>K 2/6,3 Ca4a I f2 NG</v>
          </cell>
          <cell r="M31" t="str">
            <v/>
          </cell>
          <cell r="N31" t="str">
            <v/>
          </cell>
          <cell r="P31" t="str">
            <v>-</v>
          </cell>
        </row>
        <row r="32">
          <cell r="F32" t="str">
            <v>Interminerals</v>
          </cell>
          <cell r="G32" t="str">
            <v>Interminerals</v>
          </cell>
          <cell r="H32" t="str">
            <v>Interminerals</v>
          </cell>
          <cell r="I32" t="str">
            <v>Interminerals</v>
          </cell>
          <cell r="J32" t="str">
            <v>Interminerals</v>
          </cell>
          <cell r="K32" t="str">
            <v>Sagrex</v>
          </cell>
          <cell r="L32" t="str">
            <v>Sagrex</v>
          </cell>
          <cell r="M32" t="str">
            <v/>
          </cell>
          <cell r="N32" t="str">
            <v/>
          </cell>
          <cell r="P32" t="str">
            <v>-</v>
          </cell>
        </row>
        <row r="33">
          <cell r="F33">
            <v>76.400000000000006</v>
          </cell>
          <cell r="G33">
            <v>76.400000000000006</v>
          </cell>
          <cell r="H33">
            <v>76.400000000000006</v>
          </cell>
          <cell r="I33">
            <v>76.400000000000006</v>
          </cell>
          <cell r="J33">
            <v>76.400000000000006</v>
          </cell>
          <cell r="K33">
            <v>22.15</v>
          </cell>
          <cell r="L33">
            <v>22.15</v>
          </cell>
          <cell r="M33" t="str">
            <v/>
          </cell>
          <cell r="N33" t="str">
            <v/>
          </cell>
          <cell r="P33" t="str">
            <v>-</v>
          </cell>
        </row>
        <row r="34">
          <cell r="F34">
            <v>0</v>
          </cell>
          <cell r="G34">
            <v>0</v>
          </cell>
          <cell r="H34">
            <v>0</v>
          </cell>
          <cell r="I34">
            <v>0</v>
          </cell>
          <cell r="J34">
            <v>0</v>
          </cell>
          <cell r="K34">
            <v>0</v>
          </cell>
          <cell r="L34">
            <v>0</v>
          </cell>
          <cell r="M34" t="str">
            <v/>
          </cell>
          <cell r="N34" t="str">
            <v/>
          </cell>
          <cell r="P34" t="str">
            <v>-</v>
          </cell>
        </row>
        <row r="35">
          <cell r="F35">
            <v>76.400000000000006</v>
          </cell>
          <cell r="G35">
            <v>76.400000000000006</v>
          </cell>
          <cell r="H35">
            <v>76.400000000000006</v>
          </cell>
          <cell r="I35">
            <v>76.400000000000006</v>
          </cell>
          <cell r="J35">
            <v>76.400000000000006</v>
          </cell>
          <cell r="K35">
            <v>22.15</v>
          </cell>
          <cell r="L35">
            <v>22.15</v>
          </cell>
          <cell r="M35" t="str">
            <v/>
          </cell>
          <cell r="N35" t="str">
            <v/>
          </cell>
          <cell r="P35" t="str">
            <v>-</v>
          </cell>
        </row>
        <row r="36">
          <cell r="P36" t="str">
            <v>-</v>
          </cell>
        </row>
        <row r="37">
          <cell r="P37" t="str">
            <v>-</v>
          </cell>
        </row>
        <row r="38">
          <cell r="P38" t="str">
            <v>-</v>
          </cell>
        </row>
        <row r="39">
          <cell r="P39" t="str">
            <v>-</v>
          </cell>
        </row>
        <row r="40">
          <cell r="F40" t="str">
            <v>minimaal 20%(v)</v>
          </cell>
          <cell r="G40" t="str">
            <v>minimaal 20%(v)</v>
          </cell>
          <cell r="H40" t="str">
            <v>minimaal 20%(v)</v>
          </cell>
          <cell r="I40" t="str">
            <v>minimaal 20%(v)</v>
          </cell>
          <cell r="J40" t="str">
            <v>minimaal 20%(v)</v>
          </cell>
          <cell r="K40" t="str">
            <v xml:space="preserve"> </v>
          </cell>
          <cell r="L40" t="str">
            <v xml:space="preserve"> </v>
          </cell>
          <cell r="P40" t="str">
            <v>-</v>
          </cell>
        </row>
        <row r="41">
          <cell r="F41" t="str">
            <v>zeegrind 4/14 Ba I f0.5 CB SA (NHM)</v>
          </cell>
          <cell r="G41" t="str">
            <v>zeegrind 4/14 Ba I f0.5 CB SA (NHM)</v>
          </cell>
          <cell r="H41" t="str">
            <v>zeegrind 4/14 Ba I f0.5 CB SA (NHM)</v>
          </cell>
          <cell r="I41" t="str">
            <v>zeegrind 4/14 Ba I f0.5 CB SA (NHM)</v>
          </cell>
          <cell r="J41" t="str">
            <v>zeegrind 4/14 Ba I f0.5 CB SA (NHM)</v>
          </cell>
          <cell r="K41" t="str">
            <v>K 6,3/20 Ca4a II f1,5 NG</v>
          </cell>
          <cell r="L41" t="str">
            <v>K 6,3/20 Ca4a II f1,5 NG</v>
          </cell>
          <cell r="M41" t="str">
            <v/>
          </cell>
          <cell r="N41" t="str">
            <v/>
          </cell>
          <cell r="P41" t="str">
            <v>-</v>
          </cell>
        </row>
        <row r="42">
          <cell r="F42" t="str">
            <v>NHM</v>
          </cell>
          <cell r="G42" t="str">
            <v>NHM</v>
          </cell>
          <cell r="H42" t="str">
            <v>NHM</v>
          </cell>
          <cell r="I42" t="str">
            <v>NHM</v>
          </cell>
          <cell r="J42" t="str">
            <v>NHM</v>
          </cell>
          <cell r="K42" t="str">
            <v>Sagrex</v>
          </cell>
          <cell r="L42" t="str">
            <v>Sagrex</v>
          </cell>
          <cell r="M42" t="str">
            <v/>
          </cell>
          <cell r="N42" t="str">
            <v/>
          </cell>
          <cell r="P42" t="str">
            <v>-</v>
          </cell>
        </row>
        <row r="43">
          <cell r="F43">
            <v>20.2</v>
          </cell>
          <cell r="G43">
            <v>20.2</v>
          </cell>
          <cell r="H43">
            <v>20.2</v>
          </cell>
          <cell r="I43">
            <v>20.2</v>
          </cell>
          <cell r="J43">
            <v>20.2</v>
          </cell>
          <cell r="K43">
            <v>19.5</v>
          </cell>
          <cell r="L43">
            <v>19.5</v>
          </cell>
          <cell r="M43" t="str">
            <v/>
          </cell>
          <cell r="N43" t="str">
            <v/>
          </cell>
          <cell r="P43" t="str">
            <v>-</v>
          </cell>
        </row>
        <row r="44">
          <cell r="F44">
            <v>0</v>
          </cell>
          <cell r="G44">
            <v>0</v>
          </cell>
          <cell r="H44">
            <v>0</v>
          </cell>
          <cell r="I44">
            <v>0</v>
          </cell>
          <cell r="J44">
            <v>0</v>
          </cell>
          <cell r="K44">
            <v>0</v>
          </cell>
          <cell r="L44">
            <v>0</v>
          </cell>
          <cell r="M44" t="str">
            <v/>
          </cell>
          <cell r="N44" t="str">
            <v/>
          </cell>
          <cell r="P44" t="str">
            <v>-</v>
          </cell>
        </row>
        <row r="45">
          <cell r="F45">
            <v>20.2</v>
          </cell>
          <cell r="G45">
            <v>20.2</v>
          </cell>
          <cell r="H45">
            <v>20.2</v>
          </cell>
          <cell r="I45">
            <v>20.2</v>
          </cell>
          <cell r="J45">
            <v>20.2</v>
          </cell>
          <cell r="K45">
            <v>19.5</v>
          </cell>
          <cell r="L45">
            <v>19.5</v>
          </cell>
          <cell r="M45" t="str">
            <v/>
          </cell>
          <cell r="N45" t="str">
            <v/>
          </cell>
          <cell r="P45" t="str">
            <v>-</v>
          </cell>
        </row>
        <row r="46">
          <cell r="P46" t="str">
            <v>-</v>
          </cell>
        </row>
        <row r="47">
          <cell r="P47" t="str">
            <v>-</v>
          </cell>
        </row>
        <row r="48">
          <cell r="P48" t="str">
            <v>-</v>
          </cell>
        </row>
        <row r="49">
          <cell r="P49" t="str">
            <v>-</v>
          </cell>
        </row>
        <row r="50">
          <cell r="I50" t="str">
            <v xml:space="preserve"> </v>
          </cell>
          <cell r="J50" t="str">
            <v xml:space="preserve"> </v>
          </cell>
          <cell r="K50" t="str">
            <v xml:space="preserve"> </v>
          </cell>
          <cell r="L50" t="str">
            <v xml:space="preserve"> </v>
          </cell>
          <cell r="P50" t="str">
            <v>-</v>
          </cell>
        </row>
        <row r="51">
          <cell r="F51" t="str">
            <v/>
          </cell>
          <cell r="G51" t="str">
            <v/>
          </cell>
          <cell r="H51" t="str">
            <v/>
          </cell>
          <cell r="I51" t="str">
            <v/>
          </cell>
          <cell r="J51" t="str">
            <v/>
          </cell>
          <cell r="K51" t="str">
            <v/>
          </cell>
          <cell r="L51" t="str">
            <v/>
          </cell>
          <cell r="M51" t="str">
            <v/>
          </cell>
          <cell r="N51" t="str">
            <v/>
          </cell>
          <cell r="P51" t="str">
            <v>-</v>
          </cell>
        </row>
        <row r="52">
          <cell r="F52" t="str">
            <v/>
          </cell>
          <cell r="G52" t="str">
            <v/>
          </cell>
          <cell r="H52" t="str">
            <v/>
          </cell>
          <cell r="I52" t="str">
            <v/>
          </cell>
          <cell r="J52" t="str">
            <v/>
          </cell>
          <cell r="K52" t="str">
            <v/>
          </cell>
          <cell r="L52" t="str">
            <v/>
          </cell>
          <cell r="M52" t="str">
            <v/>
          </cell>
          <cell r="N52" t="str">
            <v/>
          </cell>
          <cell r="P52" t="str">
            <v>-</v>
          </cell>
        </row>
        <row r="53">
          <cell r="F53" t="str">
            <v/>
          </cell>
          <cell r="G53" t="str">
            <v/>
          </cell>
          <cell r="H53" t="str">
            <v/>
          </cell>
          <cell r="I53" t="str">
            <v/>
          </cell>
          <cell r="J53" t="str">
            <v/>
          </cell>
          <cell r="K53" t="str">
            <v/>
          </cell>
          <cell r="L53" t="str">
            <v/>
          </cell>
          <cell r="M53" t="str">
            <v/>
          </cell>
          <cell r="N53" t="str">
            <v/>
          </cell>
          <cell r="P53" t="str">
            <v>-</v>
          </cell>
        </row>
        <row r="54">
          <cell r="F54" t="str">
            <v/>
          </cell>
          <cell r="G54" t="str">
            <v/>
          </cell>
          <cell r="H54" t="str">
            <v/>
          </cell>
          <cell r="I54" t="str">
            <v/>
          </cell>
          <cell r="J54" t="str">
            <v/>
          </cell>
          <cell r="K54" t="str">
            <v/>
          </cell>
          <cell r="L54" t="str">
            <v/>
          </cell>
          <cell r="M54" t="str">
            <v/>
          </cell>
          <cell r="N54" t="str">
            <v/>
          </cell>
          <cell r="P54" t="str">
            <v>-</v>
          </cell>
        </row>
        <row r="55">
          <cell r="F55" t="str">
            <v/>
          </cell>
          <cell r="G55" t="str">
            <v/>
          </cell>
          <cell r="H55" t="str">
            <v/>
          </cell>
          <cell r="I55" t="str">
            <v/>
          </cell>
          <cell r="J55" t="str">
            <v/>
          </cell>
          <cell r="K55" t="str">
            <v/>
          </cell>
          <cell r="L55" t="str">
            <v/>
          </cell>
          <cell r="M55" t="str">
            <v/>
          </cell>
          <cell r="N55" t="str">
            <v/>
          </cell>
          <cell r="P55" t="str">
            <v>-</v>
          </cell>
        </row>
        <row r="56">
          <cell r="P56" t="str">
            <v>-</v>
          </cell>
        </row>
        <row r="57">
          <cell r="P57" t="str">
            <v>-</v>
          </cell>
        </row>
        <row r="58">
          <cell r="P58" t="str">
            <v>-</v>
          </cell>
        </row>
        <row r="59">
          <cell r="P59" t="str">
            <v>-</v>
          </cell>
        </row>
        <row r="60">
          <cell r="F60" t="str">
            <v>CEM III/A 42.5N LA (S≥50%)</v>
          </cell>
          <cell r="G60" t="str">
            <v>CEM III/A 42.5N LA (S≥50%)</v>
          </cell>
          <cell r="H60" t="str">
            <v>CEM III/A 42.5N LA (S≥50%)</v>
          </cell>
          <cell r="I60" t="str">
            <v>CEM III/A 42.5N LA (S≥50%)</v>
          </cell>
          <cell r="J60" t="str">
            <v>CEM III/A 42.5N LA (S≥50%)</v>
          </cell>
          <cell r="K60" t="str">
            <v>CEM III/A 42.5N LA (S≥50%)</v>
          </cell>
          <cell r="L60" t="str">
            <v>CEM III/A 42.5N LA (S≥50%)</v>
          </cell>
          <cell r="M60" t="str">
            <v/>
          </cell>
          <cell r="N60" t="str">
            <v/>
          </cell>
          <cell r="P60" t="str">
            <v>-</v>
          </cell>
        </row>
        <row r="61">
          <cell r="F61">
            <v>420</v>
          </cell>
          <cell r="G61">
            <v>420</v>
          </cell>
          <cell r="H61">
            <v>420</v>
          </cell>
          <cell r="I61">
            <v>420</v>
          </cell>
          <cell r="J61">
            <v>420</v>
          </cell>
          <cell r="K61">
            <v>370</v>
          </cell>
          <cell r="L61">
            <v>370</v>
          </cell>
          <cell r="M61" t="str">
            <v/>
          </cell>
          <cell r="N61" t="str">
            <v/>
          </cell>
          <cell r="P61" t="str">
            <v>-</v>
          </cell>
        </row>
        <row r="62">
          <cell r="P62" t="str">
            <v>-</v>
          </cell>
        </row>
        <row r="63">
          <cell r="P63" t="str">
            <v>-</v>
          </cell>
        </row>
        <row r="64">
          <cell r="P64" t="str">
            <v>-</v>
          </cell>
        </row>
        <row r="65">
          <cell r="P65" t="str">
            <v>-</v>
          </cell>
        </row>
        <row r="66">
          <cell r="P66" t="str">
            <v>-</v>
          </cell>
        </row>
        <row r="67">
          <cell r="P67" t="str">
            <v>-</v>
          </cell>
        </row>
        <row r="68">
          <cell r="P68" t="str">
            <v>-</v>
          </cell>
        </row>
        <row r="69">
          <cell r="P69" t="str">
            <v>-</v>
          </cell>
        </row>
        <row r="70">
          <cell r="F70" t="str">
            <v>VEZEL micro PP</v>
          </cell>
          <cell r="G70" t="str">
            <v>VEZEL micro PP</v>
          </cell>
          <cell r="H70" t="str">
            <v>VEZEL micro PP</v>
          </cell>
          <cell r="I70" t="str">
            <v>VEZEL micro PP</v>
          </cell>
          <cell r="J70" t="str">
            <v>VEZEL micro PP</v>
          </cell>
          <cell r="K70" t="str">
            <v>VEZEL macro PP</v>
          </cell>
          <cell r="L70" t="str">
            <v/>
          </cell>
          <cell r="M70" t="str">
            <v/>
          </cell>
          <cell r="N70" t="str">
            <v/>
          </cell>
          <cell r="P70" t="str">
            <v>-</v>
          </cell>
        </row>
        <row r="71">
          <cell r="F71" t="str">
            <v>FSI</v>
          </cell>
          <cell r="G71" t="str">
            <v>FSI</v>
          </cell>
          <cell r="H71" t="str">
            <v>FSI</v>
          </cell>
          <cell r="I71" t="str">
            <v>FSI</v>
          </cell>
          <cell r="J71" t="str">
            <v>FSI</v>
          </cell>
          <cell r="K71" t="str">
            <v>BASF</v>
          </cell>
          <cell r="L71" t="str">
            <v/>
          </cell>
          <cell r="M71" t="str">
            <v/>
          </cell>
          <cell r="N71" t="str">
            <v/>
          </cell>
          <cell r="P71" t="str">
            <v>-</v>
          </cell>
        </row>
        <row r="72">
          <cell r="F72">
            <v>2.7</v>
          </cell>
          <cell r="G72">
            <v>2.7</v>
          </cell>
          <cell r="H72">
            <v>2.7</v>
          </cell>
          <cell r="I72">
            <v>2.7</v>
          </cell>
          <cell r="J72">
            <v>2.7</v>
          </cell>
          <cell r="K72">
            <v>5</v>
          </cell>
          <cell r="L72" t="str">
            <v/>
          </cell>
          <cell r="M72" t="str">
            <v/>
          </cell>
          <cell r="N72" t="str">
            <v/>
          </cell>
          <cell r="P72" t="str">
            <v>-</v>
          </cell>
        </row>
        <row r="73">
          <cell r="F73" t="str">
            <v>kg/m3</v>
          </cell>
          <cell r="G73" t="str">
            <v>kg/m3</v>
          </cell>
          <cell r="H73" t="str">
            <v>kg/m3</v>
          </cell>
          <cell r="I73" t="str">
            <v>kg/m3</v>
          </cell>
          <cell r="J73" t="str">
            <v>kg/m3</v>
          </cell>
          <cell r="K73" t="str">
            <v>kg/m3</v>
          </cell>
          <cell r="L73" t="str">
            <v/>
          </cell>
          <cell r="M73" t="str">
            <v/>
          </cell>
          <cell r="N73" t="str">
            <v/>
          </cell>
          <cell r="P73" t="str">
            <v>-</v>
          </cell>
        </row>
        <row r="74">
          <cell r="F74">
            <v>0.6</v>
          </cell>
          <cell r="G74">
            <v>0.6</v>
          </cell>
          <cell r="H74">
            <v>0.6</v>
          </cell>
          <cell r="I74">
            <v>0.6</v>
          </cell>
          <cell r="J74">
            <v>0.6</v>
          </cell>
          <cell r="K74">
            <v>3</v>
          </cell>
          <cell r="L74" t="str">
            <v/>
          </cell>
          <cell r="M74" t="str">
            <v/>
          </cell>
          <cell r="N74" t="str">
            <v/>
          </cell>
          <cell r="P74" t="str">
            <v>-</v>
          </cell>
        </row>
        <row r="75">
          <cell r="F75">
            <v>0.6</v>
          </cell>
          <cell r="G75">
            <v>0.6</v>
          </cell>
          <cell r="H75">
            <v>0.6</v>
          </cell>
          <cell r="I75">
            <v>0.6</v>
          </cell>
          <cell r="J75">
            <v>0.6</v>
          </cell>
          <cell r="K75">
            <v>2</v>
          </cell>
          <cell r="L75" t="str">
            <v/>
          </cell>
          <cell r="M75" t="str">
            <v/>
          </cell>
          <cell r="N75" t="str">
            <v/>
          </cell>
          <cell r="P75" t="str">
            <v>-</v>
          </cell>
        </row>
        <row r="76">
          <cell r="F76">
            <v>0.6</v>
          </cell>
          <cell r="G76">
            <v>0.6</v>
          </cell>
          <cell r="H76">
            <v>0.6</v>
          </cell>
          <cell r="I76">
            <v>0.6</v>
          </cell>
          <cell r="J76">
            <v>0.6</v>
          </cell>
          <cell r="K76">
            <v>2</v>
          </cell>
          <cell r="L76" t="str">
            <v/>
          </cell>
          <cell r="M76" t="str">
            <v/>
          </cell>
          <cell r="N76" t="str">
            <v/>
          </cell>
          <cell r="P76" t="str">
            <v>-</v>
          </cell>
        </row>
        <row r="77">
          <cell r="P77" t="str">
            <v>-</v>
          </cell>
        </row>
        <row r="78">
          <cell r="P78" t="str">
            <v>-</v>
          </cell>
        </row>
        <row r="79">
          <cell r="P79" t="str">
            <v>-</v>
          </cell>
        </row>
        <row r="80">
          <cell r="F80" t="str">
            <v/>
          </cell>
          <cell r="G80" t="str">
            <v/>
          </cell>
          <cell r="H80" t="str">
            <v>KLEUR geel F5300</v>
          </cell>
          <cell r="I80" t="str">
            <v>KLEUR geel F5300</v>
          </cell>
          <cell r="J80" t="str">
            <v/>
          </cell>
          <cell r="K80" t="str">
            <v/>
          </cell>
          <cell r="L80" t="str">
            <v/>
          </cell>
          <cell r="M80" t="str">
            <v/>
          </cell>
          <cell r="N80" t="str">
            <v/>
          </cell>
          <cell r="P80" t="str">
            <v>-</v>
          </cell>
        </row>
        <row r="81">
          <cell r="F81" t="str">
            <v/>
          </cell>
          <cell r="G81" t="str">
            <v/>
          </cell>
          <cell r="H81" t="str">
            <v>CATHAY</v>
          </cell>
          <cell r="I81" t="str">
            <v>CATHAY</v>
          </cell>
          <cell r="J81" t="str">
            <v/>
          </cell>
          <cell r="K81" t="str">
            <v/>
          </cell>
          <cell r="L81" t="str">
            <v/>
          </cell>
          <cell r="M81" t="str">
            <v/>
          </cell>
          <cell r="N81" t="str">
            <v/>
          </cell>
          <cell r="P81" t="str">
            <v>-</v>
          </cell>
        </row>
        <row r="82">
          <cell r="F82" t="str">
            <v/>
          </cell>
          <cell r="G82" t="str">
            <v/>
          </cell>
          <cell r="H82">
            <v>1.8499999999999999</v>
          </cell>
          <cell r="I82">
            <v>1.8499999999999999</v>
          </cell>
          <cell r="J82" t="str">
            <v/>
          </cell>
          <cell r="K82" t="str">
            <v/>
          </cell>
          <cell r="L82" t="str">
            <v/>
          </cell>
          <cell r="M82" t="str">
            <v/>
          </cell>
          <cell r="N82" t="str">
            <v/>
          </cell>
          <cell r="P82" t="str">
            <v>-</v>
          </cell>
        </row>
        <row r="83">
          <cell r="F83" t="str">
            <v/>
          </cell>
          <cell r="G83" t="str">
            <v/>
          </cell>
          <cell r="H83" t="str">
            <v>% cem</v>
          </cell>
          <cell r="I83" t="str">
            <v>% cem</v>
          </cell>
          <cell r="J83" t="str">
            <v/>
          </cell>
          <cell r="K83" t="str">
            <v/>
          </cell>
          <cell r="L83" t="str">
            <v/>
          </cell>
          <cell r="M83" t="str">
            <v/>
          </cell>
          <cell r="N83" t="str">
            <v/>
          </cell>
          <cell r="P83" t="str">
            <v>-</v>
          </cell>
        </row>
        <row r="84">
          <cell r="F84" t="str">
            <v/>
          </cell>
          <cell r="G84" t="str">
            <v/>
          </cell>
          <cell r="H84">
            <v>1.19</v>
          </cell>
          <cell r="I84">
            <v>2.38</v>
          </cell>
          <cell r="J84" t="str">
            <v/>
          </cell>
          <cell r="K84" t="str">
            <v/>
          </cell>
          <cell r="L84" t="str">
            <v/>
          </cell>
          <cell r="M84" t="str">
            <v/>
          </cell>
          <cell r="N84" t="str">
            <v/>
          </cell>
          <cell r="P84" t="str">
            <v>-</v>
          </cell>
        </row>
        <row r="85">
          <cell r="F85">
            <v>2.3809523809523809</v>
          </cell>
          <cell r="G85">
            <v>2.3809523809523809</v>
          </cell>
          <cell r="H85">
            <v>1.19</v>
          </cell>
          <cell r="I85">
            <v>2.38</v>
          </cell>
          <cell r="J85" t="str">
            <v/>
          </cell>
          <cell r="P85" t="str">
            <v>-</v>
          </cell>
        </row>
        <row r="86">
          <cell r="F86" t="str">
            <v/>
          </cell>
          <cell r="G86" t="str">
            <v/>
          </cell>
          <cell r="H86">
            <v>5</v>
          </cell>
          <cell r="I86">
            <v>10</v>
          </cell>
          <cell r="J86" t="str">
            <v/>
          </cell>
          <cell r="P86" t="str">
            <v>-</v>
          </cell>
        </row>
        <row r="87">
          <cell r="P87" t="str">
            <v>-</v>
          </cell>
        </row>
        <row r="88">
          <cell r="P88" t="str">
            <v>-</v>
          </cell>
        </row>
        <row r="89">
          <cell r="P89" t="str">
            <v>-</v>
          </cell>
        </row>
        <row r="90">
          <cell r="F90" t="str">
            <v>H-kwart gebroken 5/8 wit (Inter-m.)</v>
          </cell>
          <cell r="G90" t="str">
            <v>H-kwart gebroken 5/8 wit (Inter-m.)</v>
          </cell>
          <cell r="H90" t="str">
            <v>H-kwart gebroken 5/8 wit (Inter-m.)</v>
          </cell>
          <cell r="I90" t="str">
            <v>H-kwart gebroken 5/8 wit (Inter-m.)</v>
          </cell>
          <cell r="J90" t="str">
            <v>H-kwart gebroken 5/8 wit (Inter-m.)</v>
          </cell>
          <cell r="K90" t="str">
            <v>K 2/6,3 Ca4a I f2 NG</v>
          </cell>
          <cell r="L90" t="str">
            <v>K 2/6,3 Ca4a I f2 NG</v>
          </cell>
          <cell r="M90" t="str">
            <v/>
          </cell>
          <cell r="N90" t="str">
            <v/>
          </cell>
          <cell r="P90" t="str">
            <v>-</v>
          </cell>
        </row>
        <row r="91">
          <cell r="J91">
            <v>78</v>
          </cell>
          <cell r="P91" t="str">
            <v>-</v>
          </cell>
        </row>
        <row r="92">
          <cell r="F92">
            <v>10</v>
          </cell>
          <cell r="G92">
            <v>10</v>
          </cell>
          <cell r="H92">
            <v>10</v>
          </cell>
          <cell r="I92">
            <v>10</v>
          </cell>
          <cell r="J92">
            <v>10</v>
          </cell>
          <cell r="P92" t="str">
            <v>-</v>
          </cell>
        </row>
        <row r="93">
          <cell r="F93" t="str">
            <v>zeegrind 4/14 Ba I f0.5 CB SA (NHM)</v>
          </cell>
          <cell r="G93" t="str">
            <v>zeegrind 4/14 Ba I f0.5 CB SA (NHM)</v>
          </cell>
          <cell r="H93" t="str">
            <v>zeegrind 4/14 Ba I f0.5 CB SA (NHM)</v>
          </cell>
          <cell r="I93" t="str">
            <v>zeegrind 4/14 Ba I f0.5 CB SA (NHM)</v>
          </cell>
          <cell r="J93" t="str">
            <v>zeegrind 4/14 Ba I f0.5 CB SA (NHM)</v>
          </cell>
          <cell r="K93" t="str">
            <v>K 6,3/20 Ca4a II f1,5 NG</v>
          </cell>
          <cell r="L93" t="str">
            <v>K 6,3/20 Ca4a II f1,5 NG</v>
          </cell>
          <cell r="M93" t="str">
            <v/>
          </cell>
          <cell r="N93" t="str">
            <v/>
          </cell>
          <cell r="P93" t="str">
            <v>-</v>
          </cell>
        </row>
        <row r="94">
          <cell r="J94">
            <v>173</v>
          </cell>
          <cell r="P94" t="str">
            <v>-</v>
          </cell>
        </row>
        <row r="95">
          <cell r="F95">
            <v>10</v>
          </cell>
          <cell r="G95">
            <v>10</v>
          </cell>
          <cell r="H95">
            <v>10</v>
          </cell>
          <cell r="I95">
            <v>10</v>
          </cell>
          <cell r="J95">
            <v>10</v>
          </cell>
          <cell r="P95" t="str">
            <v>-</v>
          </cell>
        </row>
        <row r="96">
          <cell r="F96" t="str">
            <v/>
          </cell>
          <cell r="G96" t="str">
            <v/>
          </cell>
          <cell r="H96" t="str">
            <v/>
          </cell>
          <cell r="I96" t="str">
            <v/>
          </cell>
          <cell r="J96" t="str">
            <v/>
          </cell>
          <cell r="K96" t="str">
            <v/>
          </cell>
          <cell r="L96" t="str">
            <v/>
          </cell>
          <cell r="M96" t="str">
            <v/>
          </cell>
          <cell r="N96" t="str">
            <v/>
          </cell>
          <cell r="P96" t="str">
            <v>-</v>
          </cell>
        </row>
        <row r="97">
          <cell r="P97" t="str">
            <v>-</v>
          </cell>
        </row>
        <row r="98">
          <cell r="P98" t="str">
            <v>-</v>
          </cell>
        </row>
        <row r="99">
          <cell r="F99" t="str">
            <v>CEM III/A 42.5N LA (S≥50%)</v>
          </cell>
          <cell r="G99" t="str">
            <v>CEM III/A 42.5N LA (S≥50%)</v>
          </cell>
          <cell r="H99" t="str">
            <v>CEM III/A 42.5N LA (S≥50%)</v>
          </cell>
          <cell r="I99" t="str">
            <v>CEM III/A 42.5N LA (S≥50%)</v>
          </cell>
          <cell r="J99" t="str">
            <v>CEM III/A 42.5N LA (S≥50%)</v>
          </cell>
          <cell r="K99" t="str">
            <v>CEM III/A 42.5N LA (S≥50%)</v>
          </cell>
          <cell r="L99" t="str">
            <v>CEM III/A 42.5N LA (S≥50%)</v>
          </cell>
          <cell r="M99" t="str">
            <v/>
          </cell>
          <cell r="N99" t="str">
            <v/>
          </cell>
          <cell r="P99" t="str">
            <v>-</v>
          </cell>
        </row>
        <row r="100">
          <cell r="K100">
            <v>100</v>
          </cell>
          <cell r="L100">
            <v>100</v>
          </cell>
          <cell r="M100">
            <v>100</v>
          </cell>
          <cell r="N100">
            <v>100</v>
          </cell>
          <cell r="P100" t="str">
            <v>-</v>
          </cell>
        </row>
        <row r="101">
          <cell r="K101">
            <v>100</v>
          </cell>
          <cell r="L101">
            <v>100</v>
          </cell>
          <cell r="M101">
            <v>100</v>
          </cell>
          <cell r="N101">
            <v>100</v>
          </cell>
          <cell r="P101" t="str">
            <v>-</v>
          </cell>
        </row>
        <row r="102">
          <cell r="F102" t="str">
            <v/>
          </cell>
          <cell r="G102" t="str">
            <v/>
          </cell>
          <cell r="H102" t="str">
            <v/>
          </cell>
          <cell r="I102" t="str">
            <v/>
          </cell>
          <cell r="J102" t="str">
            <v/>
          </cell>
          <cell r="K102" t="str">
            <v/>
          </cell>
          <cell r="L102" t="str">
            <v/>
          </cell>
          <cell r="M102" t="str">
            <v/>
          </cell>
          <cell r="N102" t="str">
            <v/>
          </cell>
          <cell r="P102" t="str">
            <v>-</v>
          </cell>
        </row>
        <row r="103">
          <cell r="K103">
            <v>100</v>
          </cell>
          <cell r="L103">
            <v>100</v>
          </cell>
          <cell r="M103">
            <v>100</v>
          </cell>
          <cell r="N103">
            <v>100</v>
          </cell>
          <cell r="P103" t="str">
            <v>-</v>
          </cell>
        </row>
        <row r="104">
          <cell r="K104">
            <v>100</v>
          </cell>
          <cell r="L104">
            <v>100</v>
          </cell>
          <cell r="M104">
            <v>100</v>
          </cell>
          <cell r="N104">
            <v>100</v>
          </cell>
          <cell r="P104" t="str">
            <v>-</v>
          </cell>
        </row>
        <row r="105">
          <cell r="F105" t="str">
            <v>VEZEL micro PP</v>
          </cell>
          <cell r="G105" t="str">
            <v>VEZEL micro PP</v>
          </cell>
          <cell r="H105" t="str">
            <v>VEZEL micro PP</v>
          </cell>
          <cell r="I105" t="str">
            <v>VEZEL micro PP</v>
          </cell>
          <cell r="J105" t="str">
            <v>VEZEL micro PP</v>
          </cell>
          <cell r="K105" t="str">
            <v>VEZEL macro PP</v>
          </cell>
          <cell r="L105" t="str">
            <v/>
          </cell>
          <cell r="M105" t="str">
            <v/>
          </cell>
          <cell r="N105" t="str">
            <v/>
          </cell>
          <cell r="P105" t="str">
            <v>-</v>
          </cell>
        </row>
        <row r="106">
          <cell r="J106">
            <v>144</v>
          </cell>
          <cell r="P106" t="str">
            <v>-</v>
          </cell>
        </row>
        <row r="107">
          <cell r="F107">
            <v>54</v>
          </cell>
          <cell r="G107">
            <v>36</v>
          </cell>
          <cell r="H107">
            <v>36</v>
          </cell>
          <cell r="I107">
            <v>36</v>
          </cell>
          <cell r="J107">
            <v>36</v>
          </cell>
          <cell r="P107" t="str">
            <v>-</v>
          </cell>
        </row>
        <row r="108">
          <cell r="F108" t="str">
            <v/>
          </cell>
          <cell r="G108" t="str">
            <v/>
          </cell>
          <cell r="H108" t="str">
            <v>KLEUR geel F5300</v>
          </cell>
          <cell r="I108" t="str">
            <v>KLEUR geel F5300</v>
          </cell>
          <cell r="J108" t="str">
            <v/>
          </cell>
          <cell r="K108" t="str">
            <v/>
          </cell>
          <cell r="L108" t="str">
            <v/>
          </cell>
          <cell r="M108" t="str">
            <v/>
          </cell>
          <cell r="N108" t="str">
            <v/>
          </cell>
          <cell r="P108" t="str">
            <v>-</v>
          </cell>
        </row>
        <row r="109">
          <cell r="J109">
            <v>0</v>
          </cell>
          <cell r="P109" t="str">
            <v>-</v>
          </cell>
        </row>
        <row r="110">
          <cell r="F110">
            <v>480</v>
          </cell>
          <cell r="G110">
            <v>480</v>
          </cell>
          <cell r="H110">
            <v>480</v>
          </cell>
          <cell r="I110">
            <v>480</v>
          </cell>
          <cell r="J110">
            <v>150</v>
          </cell>
          <cell r="K110">
            <v>500</v>
          </cell>
          <cell r="L110">
            <v>500</v>
          </cell>
          <cell r="M110">
            <v>500</v>
          </cell>
          <cell r="N110">
            <v>500</v>
          </cell>
          <cell r="P110" t="str">
            <v>-</v>
          </cell>
        </row>
        <row r="111">
          <cell r="F111" t="str">
            <v>MasterGlenium300</v>
          </cell>
          <cell r="G111" t="str">
            <v>MasterGlenium300</v>
          </cell>
          <cell r="H111" t="str">
            <v>MasterGlenium300</v>
          </cell>
          <cell r="I111" t="str">
            <v>MasterGlenium300</v>
          </cell>
          <cell r="J111" t="str">
            <v>MasterGlenium300</v>
          </cell>
          <cell r="K111" t="str">
            <v>MasterGlenium300</v>
          </cell>
          <cell r="L111" t="str">
            <v>MasterGlenium300</v>
          </cell>
          <cell r="M111" t="str">
            <v/>
          </cell>
          <cell r="N111" t="str">
            <v/>
          </cell>
          <cell r="P111" t="str">
            <v>-</v>
          </cell>
        </row>
        <row r="112">
          <cell r="F112">
            <v>2000</v>
          </cell>
          <cell r="G112">
            <v>2000</v>
          </cell>
          <cell r="H112">
            <v>2000</v>
          </cell>
          <cell r="I112">
            <v>2000</v>
          </cell>
          <cell r="K112">
            <v>1500</v>
          </cell>
          <cell r="P112" t="str">
            <v>-</v>
          </cell>
        </row>
        <row r="113">
          <cell r="F113">
            <v>1000</v>
          </cell>
          <cell r="G113">
            <v>1000</v>
          </cell>
          <cell r="H113">
            <v>1000</v>
          </cell>
          <cell r="I113">
            <v>1000</v>
          </cell>
          <cell r="J113">
            <v>1000</v>
          </cell>
          <cell r="K113">
            <v>2000</v>
          </cell>
          <cell r="L113">
            <v>2000</v>
          </cell>
          <cell r="M113">
            <v>2000</v>
          </cell>
          <cell r="N113">
            <v>2000</v>
          </cell>
          <cell r="P113" t="str">
            <v>-</v>
          </cell>
        </row>
        <row r="114">
          <cell r="F114" t="str">
            <v/>
          </cell>
          <cell r="G114" t="str">
            <v/>
          </cell>
          <cell r="H114" t="str">
            <v>MasterSet R130</v>
          </cell>
          <cell r="I114" t="str">
            <v>MasterSet R130</v>
          </cell>
          <cell r="J114" t="str">
            <v/>
          </cell>
          <cell r="K114" t="str">
            <v/>
          </cell>
          <cell r="L114" t="str">
            <v>MasterAir 104</v>
          </cell>
          <cell r="M114" t="str">
            <v/>
          </cell>
          <cell r="N114" t="str">
            <v/>
          </cell>
          <cell r="P114" t="str">
            <v>-</v>
          </cell>
        </row>
        <row r="115">
          <cell r="P115" t="str">
            <v>-</v>
          </cell>
        </row>
        <row r="116">
          <cell r="P116" t="str">
            <v>-</v>
          </cell>
        </row>
        <row r="117">
          <cell r="F117" t="str">
            <v/>
          </cell>
          <cell r="G117" t="str">
            <v/>
          </cell>
          <cell r="H117" t="str">
            <v>MasterSet R130</v>
          </cell>
          <cell r="I117" t="str">
            <v>MasterSet R130</v>
          </cell>
          <cell r="J117" t="str">
            <v/>
          </cell>
          <cell r="K117" t="str">
            <v/>
          </cell>
          <cell r="L117" t="str">
            <v>MasterAir 104</v>
          </cell>
          <cell r="M117" t="str">
            <v/>
          </cell>
          <cell r="N117" t="str">
            <v/>
          </cell>
          <cell r="P117" t="str">
            <v>-</v>
          </cell>
        </row>
        <row r="118">
          <cell r="P118" t="str">
            <v>-</v>
          </cell>
        </row>
        <row r="119">
          <cell r="P119" t="str">
            <v>-</v>
          </cell>
        </row>
        <row r="120">
          <cell r="F120" t="str">
            <v/>
          </cell>
          <cell r="G120" t="str">
            <v/>
          </cell>
          <cell r="H120" t="str">
            <v/>
          </cell>
          <cell r="I120" t="str">
            <v/>
          </cell>
          <cell r="J120" t="str">
            <v/>
          </cell>
          <cell r="K120" t="str">
            <v/>
          </cell>
          <cell r="L120" t="str">
            <v>MasterSet R130</v>
          </cell>
          <cell r="M120" t="str">
            <v/>
          </cell>
          <cell r="N120" t="str">
            <v/>
          </cell>
          <cell r="P120" t="str">
            <v>-</v>
          </cell>
        </row>
        <row r="121">
          <cell r="P121" t="str">
            <v>-</v>
          </cell>
        </row>
        <row r="122">
          <cell r="P122" t="str">
            <v>-</v>
          </cell>
        </row>
        <row r="123">
          <cell r="F123">
            <v>35</v>
          </cell>
          <cell r="G123">
            <v>35</v>
          </cell>
          <cell r="H123">
            <v>35</v>
          </cell>
          <cell r="I123">
            <v>35</v>
          </cell>
          <cell r="J123">
            <v>35</v>
          </cell>
          <cell r="K123">
            <v>45</v>
          </cell>
          <cell r="L123">
            <v>0</v>
          </cell>
          <cell r="P123" t="str">
            <v>-</v>
          </cell>
        </row>
        <row r="124">
          <cell r="F124">
            <v>6.9444444444444441E-3</v>
          </cell>
          <cell r="G124">
            <v>6.9444444444444441E-3</v>
          </cell>
          <cell r="H124">
            <v>6.9444444444444441E-3</v>
          </cell>
          <cell r="I124">
            <v>6.9444444444444441E-3</v>
          </cell>
          <cell r="J124">
            <v>6.9444444444444441E-3</v>
          </cell>
          <cell r="K124">
            <v>6.9444444444444441E-3</v>
          </cell>
          <cell r="L124">
            <v>0</v>
          </cell>
          <cell r="P124" t="str">
            <v>-</v>
          </cell>
        </row>
        <row r="125">
          <cell r="F125">
            <v>1.0416666666666666E-2</v>
          </cell>
          <cell r="G125">
            <v>1.0416666666666666E-2</v>
          </cell>
          <cell r="H125">
            <v>1.0416666666666666E-2</v>
          </cell>
          <cell r="I125">
            <v>1.0416666666666666E-2</v>
          </cell>
          <cell r="J125">
            <v>1.0416666666666666E-2</v>
          </cell>
          <cell r="K125">
            <v>1.0416666666666666E-2</v>
          </cell>
          <cell r="L125">
            <v>0</v>
          </cell>
          <cell r="P125" t="str">
            <v>-</v>
          </cell>
        </row>
        <row r="126">
          <cell r="F126">
            <v>1.3888888888888888E-2</v>
          </cell>
          <cell r="G126">
            <v>1.3888888888888888E-2</v>
          </cell>
          <cell r="H126">
            <v>1.3888888888888888E-2</v>
          </cell>
          <cell r="I126">
            <v>1.3888888888888888E-2</v>
          </cell>
          <cell r="J126">
            <v>1.3888888888888888E-2</v>
          </cell>
          <cell r="K126">
            <v>1.3888888888888888E-2</v>
          </cell>
          <cell r="L126">
            <v>0</v>
          </cell>
          <cell r="P126" t="str">
            <v>-</v>
          </cell>
        </row>
        <row r="127">
          <cell r="F127">
            <v>3.4722222222222224E-2</v>
          </cell>
          <cell r="G127">
            <v>3.4722222222222224E-2</v>
          </cell>
          <cell r="H127">
            <v>3.4722222222222224E-2</v>
          </cell>
          <cell r="I127">
            <v>3.4722222222222224E-2</v>
          </cell>
          <cell r="J127">
            <v>3.4722222222222224E-2</v>
          </cell>
          <cell r="K127">
            <v>2.7777777777777776E-2</v>
          </cell>
          <cell r="L127">
            <v>0</v>
          </cell>
          <cell r="P127" t="str">
            <v>-</v>
          </cell>
        </row>
        <row r="128">
          <cell r="F128">
            <v>4.1666666666666664E-2</v>
          </cell>
          <cell r="G128">
            <v>4.1666666666666664E-2</v>
          </cell>
          <cell r="H128">
            <v>4.1666666666666664E-2</v>
          </cell>
          <cell r="I128">
            <v>4.1666666666666664E-2</v>
          </cell>
          <cell r="J128">
            <v>4.1666666666666664E-2</v>
          </cell>
          <cell r="K128">
            <v>3.125E-2</v>
          </cell>
          <cell r="L128">
            <v>0</v>
          </cell>
          <cell r="P128" t="str">
            <v>-</v>
          </cell>
        </row>
        <row r="129">
          <cell r="F129">
            <v>4.5138888888888888E-2</v>
          </cell>
          <cell r="G129">
            <v>4.5138888888888888E-2</v>
          </cell>
          <cell r="H129">
            <v>4.5138888888888888E-2</v>
          </cell>
          <cell r="I129">
            <v>4.5138888888888888E-2</v>
          </cell>
          <cell r="J129">
            <v>4.5138888888888888E-2</v>
          </cell>
          <cell r="K129">
            <v>3.4722222222222224E-2</v>
          </cell>
          <cell r="L129">
            <v>0</v>
          </cell>
          <cell r="P129" t="str">
            <v>-</v>
          </cell>
        </row>
        <row r="130">
          <cell r="F130">
            <v>6.9444444444444441E-3</v>
          </cell>
          <cell r="G130">
            <v>6.9444444444444441E-3</v>
          </cell>
          <cell r="H130">
            <v>6.9444444444444441E-3</v>
          </cell>
          <cell r="I130">
            <v>6.9444444444444441E-3</v>
          </cell>
          <cell r="J130">
            <v>6.9444444444444441E-3</v>
          </cell>
          <cell r="K130">
            <v>6.9444444444444441E-3</v>
          </cell>
          <cell r="L130">
            <v>0</v>
          </cell>
          <cell r="P130" t="str">
            <v>-</v>
          </cell>
        </row>
        <row r="131">
          <cell r="F131">
            <v>1.0416666666666666E-2</v>
          </cell>
          <cell r="G131">
            <v>1.0416666666666666E-2</v>
          </cell>
          <cell r="H131">
            <v>1.0416666666666666E-2</v>
          </cell>
          <cell r="I131">
            <v>1.0416666666666666E-2</v>
          </cell>
          <cell r="J131">
            <v>1.0416666666666666E-2</v>
          </cell>
          <cell r="K131">
            <v>1.0416666666666666E-2</v>
          </cell>
          <cell r="L131">
            <v>0</v>
          </cell>
          <cell r="P131" t="str">
            <v>-</v>
          </cell>
        </row>
        <row r="132">
          <cell r="F132">
            <v>2.0833333333333332E-2</v>
          </cell>
          <cell r="G132">
            <v>2.0833333333333332E-2</v>
          </cell>
          <cell r="H132">
            <v>2.0833333333333332E-2</v>
          </cell>
          <cell r="I132">
            <v>2.0833333333333332E-2</v>
          </cell>
          <cell r="J132">
            <v>2.0833333333333332E-2</v>
          </cell>
          <cell r="K132">
            <v>2.0833333333333332E-2</v>
          </cell>
          <cell r="L132">
            <v>0</v>
          </cell>
          <cell r="P132" t="str">
            <v>-</v>
          </cell>
        </row>
        <row r="133">
          <cell r="F133">
            <v>8.3333333333333343E-2</v>
          </cell>
          <cell r="G133">
            <v>8.3333333333333343E-2</v>
          </cell>
          <cell r="H133">
            <v>8.3333333333333343E-2</v>
          </cell>
          <cell r="I133">
            <v>8.3333333333333343E-2</v>
          </cell>
          <cell r="J133">
            <v>8.3333333333333343E-2</v>
          </cell>
          <cell r="K133">
            <v>6.9444444444444448E-2</v>
          </cell>
          <cell r="L133">
            <v>0</v>
          </cell>
          <cell r="M133">
            <v>0</v>
          </cell>
          <cell r="N133">
            <v>0</v>
          </cell>
          <cell r="O133">
            <v>0</v>
          </cell>
          <cell r="P133" t="str">
            <v>-</v>
          </cell>
        </row>
        <row r="134">
          <cell r="F134">
            <v>0.10416666666666667</v>
          </cell>
          <cell r="G134">
            <v>0.10416666666666667</v>
          </cell>
          <cell r="H134">
            <v>0.10416666666666667</v>
          </cell>
          <cell r="I134">
            <v>0.10416666666666667</v>
          </cell>
          <cell r="J134">
            <v>0.10416666666666667</v>
          </cell>
          <cell r="K134">
            <v>8.3333333333333343E-2</v>
          </cell>
          <cell r="L134">
            <v>0</v>
          </cell>
          <cell r="M134">
            <v>0</v>
          </cell>
          <cell r="N134">
            <v>0</v>
          </cell>
          <cell r="O134">
            <v>0</v>
          </cell>
          <cell r="P134" t="str">
            <v>-</v>
          </cell>
        </row>
        <row r="135">
          <cell r="F135">
            <v>0.12499999999999999</v>
          </cell>
          <cell r="G135">
            <v>0.12499999999999999</v>
          </cell>
          <cell r="H135">
            <v>0.12499999999999999</v>
          </cell>
          <cell r="I135">
            <v>0.12499999999999999</v>
          </cell>
          <cell r="J135">
            <v>0.12499999999999999</v>
          </cell>
          <cell r="K135">
            <v>0.10416666666666667</v>
          </cell>
          <cell r="L135">
            <v>0</v>
          </cell>
          <cell r="M135">
            <v>0</v>
          </cell>
          <cell r="N135">
            <v>0</v>
          </cell>
          <cell r="O135">
            <v>0</v>
          </cell>
          <cell r="P135" t="str">
            <v>-</v>
          </cell>
        </row>
        <row r="136">
          <cell r="F136">
            <v>9</v>
          </cell>
          <cell r="G136">
            <v>9</v>
          </cell>
          <cell r="H136">
            <v>9</v>
          </cell>
          <cell r="I136">
            <v>9</v>
          </cell>
          <cell r="J136">
            <v>9</v>
          </cell>
          <cell r="K136">
            <v>9</v>
          </cell>
          <cell r="L136">
            <v>9</v>
          </cell>
          <cell r="M136">
            <v>9</v>
          </cell>
          <cell r="N136">
            <v>9</v>
          </cell>
          <cell r="O136">
            <v>9</v>
          </cell>
          <cell r="P136" t="str">
            <v>-</v>
          </cell>
        </row>
        <row r="137">
          <cell r="F137">
            <v>68</v>
          </cell>
          <cell r="G137">
            <v>68</v>
          </cell>
          <cell r="H137">
            <v>68</v>
          </cell>
          <cell r="I137">
            <v>68</v>
          </cell>
          <cell r="J137">
            <v>68</v>
          </cell>
          <cell r="K137">
            <v>68</v>
          </cell>
          <cell r="L137">
            <v>68</v>
          </cell>
          <cell r="M137">
            <v>68</v>
          </cell>
          <cell r="N137">
            <v>68</v>
          </cell>
          <cell r="O137">
            <v>68</v>
          </cell>
          <cell r="P137" t="str">
            <v>-</v>
          </cell>
        </row>
        <row r="138">
          <cell r="F138">
            <v>15</v>
          </cell>
          <cell r="G138">
            <v>15</v>
          </cell>
          <cell r="H138">
            <v>15</v>
          </cell>
          <cell r="I138">
            <v>15</v>
          </cell>
          <cell r="J138">
            <v>15</v>
          </cell>
          <cell r="K138">
            <v>13</v>
          </cell>
          <cell r="L138">
            <v>0</v>
          </cell>
          <cell r="M138">
            <v>0</v>
          </cell>
          <cell r="N138">
            <v>0</v>
          </cell>
          <cell r="O138">
            <v>0</v>
          </cell>
          <cell r="P138" t="str">
            <v>-</v>
          </cell>
        </row>
        <row r="139">
          <cell r="F139">
            <v>19</v>
          </cell>
          <cell r="G139">
            <v>19</v>
          </cell>
          <cell r="H139">
            <v>19</v>
          </cell>
          <cell r="I139">
            <v>19</v>
          </cell>
          <cell r="J139">
            <v>19</v>
          </cell>
          <cell r="K139">
            <v>15</v>
          </cell>
          <cell r="L139">
            <v>0</v>
          </cell>
          <cell r="M139">
            <v>0</v>
          </cell>
          <cell r="N139">
            <v>0</v>
          </cell>
          <cell r="O139">
            <v>0</v>
          </cell>
          <cell r="P139" t="str">
            <v>-</v>
          </cell>
        </row>
        <row r="140">
          <cell r="F140">
            <v>23</v>
          </cell>
          <cell r="G140">
            <v>23</v>
          </cell>
          <cell r="H140">
            <v>23</v>
          </cell>
          <cell r="I140">
            <v>23</v>
          </cell>
          <cell r="J140">
            <v>23</v>
          </cell>
          <cell r="K140">
            <v>19</v>
          </cell>
          <cell r="L140">
            <v>0</v>
          </cell>
          <cell r="M140">
            <v>0</v>
          </cell>
          <cell r="N140">
            <v>0</v>
          </cell>
          <cell r="O140">
            <v>0</v>
          </cell>
          <cell r="P140" t="str">
            <v>-</v>
          </cell>
        </row>
        <row r="141">
          <cell r="F141">
            <v>5</v>
          </cell>
          <cell r="G141">
            <v>5</v>
          </cell>
          <cell r="H141">
            <v>5</v>
          </cell>
          <cell r="I141">
            <v>5</v>
          </cell>
          <cell r="J141">
            <v>5</v>
          </cell>
          <cell r="K141">
            <v>5</v>
          </cell>
          <cell r="L141">
            <v>5</v>
          </cell>
          <cell r="M141">
            <v>5</v>
          </cell>
          <cell r="N141">
            <v>5</v>
          </cell>
          <cell r="O141">
            <v>5</v>
          </cell>
          <cell r="P141" t="str">
            <v>-</v>
          </cell>
        </row>
        <row r="142">
          <cell r="F142">
            <v>1000</v>
          </cell>
          <cell r="G142">
            <v>1000</v>
          </cell>
          <cell r="H142">
            <v>1000</v>
          </cell>
          <cell r="I142">
            <v>1000</v>
          </cell>
          <cell r="J142">
            <v>1000</v>
          </cell>
          <cell r="K142">
            <v>1000</v>
          </cell>
          <cell r="P142" t="str">
            <v>-</v>
          </cell>
        </row>
        <row r="143">
          <cell r="F143">
            <v>5.9101654846335698</v>
          </cell>
          <cell r="G143">
            <v>5.9101654846335698</v>
          </cell>
          <cell r="H143">
            <v>5.9101654846335698</v>
          </cell>
          <cell r="I143">
            <v>5.9101654846335698</v>
          </cell>
          <cell r="J143">
            <v>6.3938618925831197</v>
          </cell>
          <cell r="K143">
            <v>1.4285714285714286</v>
          </cell>
          <cell r="L143">
            <v>0</v>
          </cell>
          <cell r="M143" t="e">
            <v>#DIV/0!</v>
          </cell>
          <cell r="N143" t="e">
            <v>#DIV/0!</v>
          </cell>
          <cell r="O143" t="e">
            <v>#DIV/0!</v>
          </cell>
          <cell r="P143" t="str">
            <v>-</v>
          </cell>
        </row>
        <row r="144">
          <cell r="F144">
            <v>1000</v>
          </cell>
          <cell r="G144">
            <v>1000</v>
          </cell>
          <cell r="H144">
            <v>1000</v>
          </cell>
          <cell r="I144">
            <v>1000</v>
          </cell>
          <cell r="J144">
            <v>1000</v>
          </cell>
          <cell r="K144">
            <v>1000</v>
          </cell>
          <cell r="P144" t="str">
            <v>-</v>
          </cell>
        </row>
        <row r="145">
          <cell r="F145">
            <v>5.9101654846335698</v>
          </cell>
          <cell r="G145">
            <v>5.9101654846335698</v>
          </cell>
          <cell r="H145">
            <v>5.9101654846335698</v>
          </cell>
          <cell r="I145">
            <v>5.9101654846335698</v>
          </cell>
          <cell r="J145">
            <v>6.3938618925831197</v>
          </cell>
          <cell r="K145">
            <v>1.4285714285714286</v>
          </cell>
          <cell r="L145">
            <v>0</v>
          </cell>
          <cell r="M145" t="e">
            <v>#DIV/0!</v>
          </cell>
          <cell r="N145" t="e">
            <v>#DIV/0!</v>
          </cell>
          <cell r="O145" t="e">
            <v>#DIV/0!</v>
          </cell>
          <cell r="P145" t="str">
            <v>-</v>
          </cell>
        </row>
        <row r="146">
          <cell r="F146">
            <v>145</v>
          </cell>
          <cell r="G146">
            <v>140</v>
          </cell>
          <cell r="H146">
            <v>150</v>
          </cell>
          <cell r="I146">
            <v>160</v>
          </cell>
          <cell r="J146">
            <v>160</v>
          </cell>
          <cell r="K146">
            <v>100</v>
          </cell>
          <cell r="P146" t="str">
            <v>-</v>
          </cell>
        </row>
        <row r="147">
          <cell r="F147">
            <v>147</v>
          </cell>
          <cell r="G147">
            <v>147</v>
          </cell>
          <cell r="H147">
            <v>147</v>
          </cell>
          <cell r="I147">
            <v>147</v>
          </cell>
          <cell r="J147">
            <v>147</v>
          </cell>
          <cell r="K147">
            <v>147</v>
          </cell>
          <cell r="L147">
            <v>147</v>
          </cell>
          <cell r="M147">
            <v>147</v>
          </cell>
          <cell r="N147">
            <v>147</v>
          </cell>
          <cell r="P147" t="str">
            <v>-</v>
          </cell>
        </row>
        <row r="148">
          <cell r="F148">
            <v>148</v>
          </cell>
          <cell r="G148">
            <v>148</v>
          </cell>
          <cell r="H148">
            <v>148</v>
          </cell>
          <cell r="I148">
            <v>148</v>
          </cell>
          <cell r="J148">
            <v>148</v>
          </cell>
          <cell r="K148">
            <v>148</v>
          </cell>
          <cell r="L148">
            <v>148</v>
          </cell>
          <cell r="M148">
            <v>148</v>
          </cell>
          <cell r="N148">
            <v>148</v>
          </cell>
          <cell r="P148" t="str">
            <v>-</v>
          </cell>
        </row>
        <row r="149">
          <cell r="F149">
            <v>149</v>
          </cell>
          <cell r="G149">
            <v>149</v>
          </cell>
          <cell r="H149">
            <v>149</v>
          </cell>
          <cell r="I149">
            <v>149</v>
          </cell>
          <cell r="J149">
            <v>149</v>
          </cell>
          <cell r="K149">
            <v>149</v>
          </cell>
          <cell r="L149">
            <v>149</v>
          </cell>
          <cell r="M149">
            <v>149</v>
          </cell>
          <cell r="N149">
            <v>149</v>
          </cell>
          <cell r="P149" t="str">
            <v>-</v>
          </cell>
        </row>
        <row r="150">
          <cell r="F150">
            <v>150</v>
          </cell>
          <cell r="G150">
            <v>150</v>
          </cell>
          <cell r="H150">
            <v>150</v>
          </cell>
          <cell r="I150">
            <v>150</v>
          </cell>
          <cell r="J150">
            <v>150</v>
          </cell>
          <cell r="K150">
            <v>150</v>
          </cell>
          <cell r="L150">
            <v>150</v>
          </cell>
          <cell r="M150">
            <v>150</v>
          </cell>
          <cell r="N150">
            <v>150</v>
          </cell>
          <cell r="P150" t="str">
            <v>-</v>
          </cell>
        </row>
        <row r="151">
          <cell r="F151">
            <v>151</v>
          </cell>
          <cell r="G151">
            <v>151</v>
          </cell>
          <cell r="H151">
            <v>151</v>
          </cell>
          <cell r="I151">
            <v>151</v>
          </cell>
          <cell r="J151">
            <v>151</v>
          </cell>
          <cell r="K151">
            <v>151</v>
          </cell>
          <cell r="L151">
            <v>151</v>
          </cell>
          <cell r="M151">
            <v>151</v>
          </cell>
          <cell r="N151">
            <v>151</v>
          </cell>
          <cell r="P151" t="str">
            <v>-</v>
          </cell>
        </row>
        <row r="152">
          <cell r="F152">
            <v>152</v>
          </cell>
          <cell r="G152">
            <v>152</v>
          </cell>
          <cell r="H152">
            <v>152</v>
          </cell>
          <cell r="I152">
            <v>152</v>
          </cell>
          <cell r="J152">
            <v>152</v>
          </cell>
          <cell r="K152">
            <v>152</v>
          </cell>
          <cell r="L152">
            <v>152</v>
          </cell>
          <cell r="M152">
            <v>152</v>
          </cell>
          <cell r="N152">
            <v>152</v>
          </cell>
          <cell r="P152" t="str">
            <v>-</v>
          </cell>
        </row>
        <row r="153">
          <cell r="F153">
            <v>153</v>
          </cell>
          <cell r="G153">
            <v>153</v>
          </cell>
          <cell r="H153">
            <v>153</v>
          </cell>
          <cell r="I153">
            <v>153</v>
          </cell>
          <cell r="J153">
            <v>153</v>
          </cell>
          <cell r="K153">
            <v>153</v>
          </cell>
          <cell r="L153">
            <v>153</v>
          </cell>
          <cell r="M153">
            <v>153</v>
          </cell>
          <cell r="N153">
            <v>153</v>
          </cell>
          <cell r="P153" t="str">
            <v>-</v>
          </cell>
        </row>
        <row r="154">
          <cell r="F154">
            <v>154</v>
          </cell>
          <cell r="G154">
            <v>154</v>
          </cell>
          <cell r="H154">
            <v>154</v>
          </cell>
          <cell r="I154">
            <v>154</v>
          </cell>
          <cell r="J154">
            <v>154</v>
          </cell>
          <cell r="K154">
            <v>154</v>
          </cell>
          <cell r="L154">
            <v>154</v>
          </cell>
          <cell r="M154">
            <v>154</v>
          </cell>
          <cell r="N154">
            <v>154</v>
          </cell>
          <cell r="P154" t="str">
            <v>-</v>
          </cell>
        </row>
        <row r="155">
          <cell r="F155">
            <v>155</v>
          </cell>
          <cell r="G155">
            <v>155</v>
          </cell>
          <cell r="H155">
            <v>155</v>
          </cell>
          <cell r="I155">
            <v>155</v>
          </cell>
          <cell r="J155">
            <v>155</v>
          </cell>
          <cell r="K155">
            <v>155</v>
          </cell>
          <cell r="L155">
            <v>155</v>
          </cell>
          <cell r="M155">
            <v>155</v>
          </cell>
          <cell r="N155">
            <v>155</v>
          </cell>
          <cell r="P155" t="str">
            <v>-</v>
          </cell>
        </row>
        <row r="156">
          <cell r="F156">
            <v>156</v>
          </cell>
          <cell r="G156">
            <v>156</v>
          </cell>
          <cell r="H156">
            <v>156</v>
          </cell>
          <cell r="I156">
            <v>156</v>
          </cell>
          <cell r="J156">
            <v>156</v>
          </cell>
          <cell r="K156">
            <v>156</v>
          </cell>
          <cell r="L156">
            <v>156</v>
          </cell>
          <cell r="M156">
            <v>156</v>
          </cell>
          <cell r="N156">
            <v>156</v>
          </cell>
          <cell r="P156" t="str">
            <v>-</v>
          </cell>
        </row>
        <row r="157">
          <cell r="F157">
            <v>157</v>
          </cell>
          <cell r="G157">
            <v>157</v>
          </cell>
          <cell r="H157">
            <v>157</v>
          </cell>
          <cell r="I157">
            <v>157</v>
          </cell>
          <cell r="J157">
            <v>157</v>
          </cell>
          <cell r="K157">
            <v>157</v>
          </cell>
          <cell r="L157">
            <v>157</v>
          </cell>
          <cell r="M157">
            <v>157</v>
          </cell>
          <cell r="N157">
            <v>157</v>
          </cell>
          <cell r="P157" t="str">
            <v>-</v>
          </cell>
        </row>
        <row r="158">
          <cell r="F158">
            <v>158</v>
          </cell>
          <cell r="G158">
            <v>158</v>
          </cell>
          <cell r="H158">
            <v>158</v>
          </cell>
          <cell r="I158">
            <v>158</v>
          </cell>
          <cell r="J158">
            <v>158</v>
          </cell>
          <cell r="K158">
            <v>158</v>
          </cell>
          <cell r="L158">
            <v>158</v>
          </cell>
          <cell r="M158">
            <v>158</v>
          </cell>
          <cell r="N158">
            <v>158</v>
          </cell>
          <cell r="P158" t="str">
            <v>-</v>
          </cell>
        </row>
        <row r="159">
          <cell r="F159">
            <v>159</v>
          </cell>
          <cell r="G159">
            <v>159</v>
          </cell>
          <cell r="H159">
            <v>159</v>
          </cell>
          <cell r="I159">
            <v>159</v>
          </cell>
          <cell r="J159">
            <v>159</v>
          </cell>
          <cell r="K159">
            <v>159</v>
          </cell>
          <cell r="L159">
            <v>159</v>
          </cell>
          <cell r="M159">
            <v>159</v>
          </cell>
          <cell r="N159">
            <v>159</v>
          </cell>
          <cell r="P159" t="str">
            <v>-</v>
          </cell>
        </row>
        <row r="160">
          <cell r="F160">
            <v>160</v>
          </cell>
          <cell r="G160">
            <v>160</v>
          </cell>
          <cell r="H160">
            <v>160</v>
          </cell>
          <cell r="I160">
            <v>160</v>
          </cell>
          <cell r="J160">
            <v>160</v>
          </cell>
          <cell r="K160">
            <v>160</v>
          </cell>
          <cell r="L160">
            <v>160</v>
          </cell>
          <cell r="M160">
            <v>160</v>
          </cell>
          <cell r="N160">
            <v>160</v>
          </cell>
          <cell r="P160" t="str">
            <v>-</v>
          </cell>
        </row>
        <row r="161">
          <cell r="F161">
            <v>161</v>
          </cell>
          <cell r="G161">
            <v>161</v>
          </cell>
          <cell r="H161">
            <v>161</v>
          </cell>
          <cell r="I161">
            <v>161</v>
          </cell>
          <cell r="J161">
            <v>161</v>
          </cell>
          <cell r="K161">
            <v>161</v>
          </cell>
          <cell r="L161">
            <v>161</v>
          </cell>
          <cell r="M161">
            <v>161</v>
          </cell>
          <cell r="N161">
            <v>161</v>
          </cell>
          <cell r="P161" t="str">
            <v>-</v>
          </cell>
        </row>
        <row r="162">
          <cell r="F162">
            <v>162</v>
          </cell>
          <cell r="G162">
            <v>162</v>
          </cell>
          <cell r="H162">
            <v>162</v>
          </cell>
          <cell r="I162">
            <v>162</v>
          </cell>
          <cell r="J162">
            <v>162</v>
          </cell>
          <cell r="K162">
            <v>162</v>
          </cell>
          <cell r="L162">
            <v>162</v>
          </cell>
          <cell r="M162">
            <v>162</v>
          </cell>
          <cell r="N162">
            <v>162</v>
          </cell>
          <cell r="P162" t="str">
            <v>-</v>
          </cell>
        </row>
        <row r="163">
          <cell r="F163">
            <v>163</v>
          </cell>
          <cell r="G163">
            <v>163</v>
          </cell>
          <cell r="H163">
            <v>163</v>
          </cell>
          <cell r="I163">
            <v>163</v>
          </cell>
          <cell r="J163">
            <v>163</v>
          </cell>
          <cell r="K163">
            <v>163</v>
          </cell>
          <cell r="L163">
            <v>163</v>
          </cell>
          <cell r="M163">
            <v>163</v>
          </cell>
          <cell r="N163">
            <v>163</v>
          </cell>
          <cell r="P163" t="str">
            <v>-</v>
          </cell>
        </row>
        <row r="164">
          <cell r="F164">
            <v>164</v>
          </cell>
          <cell r="G164">
            <v>164</v>
          </cell>
          <cell r="H164">
            <v>164</v>
          </cell>
          <cell r="I164">
            <v>164</v>
          </cell>
          <cell r="J164">
            <v>164</v>
          </cell>
          <cell r="K164">
            <v>164</v>
          </cell>
          <cell r="L164">
            <v>164</v>
          </cell>
          <cell r="M164">
            <v>164</v>
          </cell>
          <cell r="N164">
            <v>164</v>
          </cell>
          <cell r="P164" t="str">
            <v>-</v>
          </cell>
        </row>
        <row r="165">
          <cell r="F165">
            <v>165</v>
          </cell>
          <cell r="G165">
            <v>165</v>
          </cell>
          <cell r="H165">
            <v>165</v>
          </cell>
          <cell r="I165">
            <v>165</v>
          </cell>
          <cell r="J165">
            <v>165</v>
          </cell>
          <cell r="K165">
            <v>165</v>
          </cell>
          <cell r="L165">
            <v>165</v>
          </cell>
          <cell r="M165">
            <v>165</v>
          </cell>
          <cell r="N165">
            <v>165</v>
          </cell>
          <cell r="P165" t="str">
            <v>-</v>
          </cell>
        </row>
        <row r="166">
          <cell r="F166">
            <v>166</v>
          </cell>
          <cell r="G166">
            <v>166</v>
          </cell>
          <cell r="H166">
            <v>166</v>
          </cell>
          <cell r="I166">
            <v>166</v>
          </cell>
          <cell r="J166">
            <v>166</v>
          </cell>
          <cell r="K166">
            <v>166</v>
          </cell>
          <cell r="L166">
            <v>166</v>
          </cell>
          <cell r="M166">
            <v>166</v>
          </cell>
          <cell r="N166">
            <v>166</v>
          </cell>
          <cell r="P166" t="str">
            <v>-</v>
          </cell>
        </row>
        <row r="167">
          <cell r="F167">
            <v>167</v>
          </cell>
          <cell r="G167">
            <v>167</v>
          </cell>
          <cell r="H167">
            <v>167</v>
          </cell>
          <cell r="I167">
            <v>167</v>
          </cell>
          <cell r="J167">
            <v>167</v>
          </cell>
          <cell r="K167">
            <v>167</v>
          </cell>
          <cell r="L167">
            <v>167</v>
          </cell>
          <cell r="M167">
            <v>167</v>
          </cell>
          <cell r="N167">
            <v>167</v>
          </cell>
          <cell r="P167" t="str">
            <v>-</v>
          </cell>
        </row>
      </sheetData>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quelettes réference"/>
      <sheetName val="Recette"/>
      <sheetName val="IC BE-CERT"/>
      <sheetName val="DOSAGE"/>
      <sheetName val="BRULAGE"/>
      <sheetName val="Corrélation -cosistance"/>
      <sheetName val="Adjuvant"/>
      <sheetName val="Fuseaux réference"/>
      <sheetName val="Ciments"/>
      <sheetName val="Granulats"/>
      <sheetName val="Sheet1"/>
      <sheetName val="Fiche Technique"/>
      <sheetName val="EC"/>
      <sheetName val="PRELEVEMENTS"/>
      <sheetName val="STATISTIQUES"/>
      <sheetName val="Fiche à completer"/>
      <sheetName val="Fiche Tech (AUTO)PDF"/>
      <sheetName val="Résultats"/>
      <sheetName val="Cacule de Matutrité"/>
    </sheetNames>
    <sheetDataSet>
      <sheetData sheetId="0"/>
      <sheetData sheetId="1"/>
      <sheetData sheetId="2" refreshError="1"/>
      <sheetData sheetId="3"/>
      <sheetData sheetId="4"/>
      <sheetData sheetId="5" refreshError="1"/>
      <sheetData sheetId="6"/>
      <sheetData sheetId="7" refreshError="1"/>
      <sheetData sheetId="8"/>
      <sheetData sheetId="9"/>
      <sheetData sheetId="10">
        <row r="56">
          <cell r="A56" t="str">
            <v>WAI(0.50): moyenne ≤ 6% individuelle ≤6.5%</v>
          </cell>
        </row>
        <row r="57">
          <cell r="A57" t="str">
            <v>WAI(0.50)A: moyenne ≤ 6,3% individuelle ≤6.8%</v>
          </cell>
        </row>
        <row r="58">
          <cell r="A58" t="str">
            <v>WAI(0.45): moyenne ≤ 5.5% individuelle ≤6.0%</v>
          </cell>
        </row>
        <row r="59">
          <cell r="A59" t="str">
            <v>WAI(0.45)A: moyenne ≤ 5.8% individuelle ≤6.3%</v>
          </cell>
        </row>
        <row r="62">
          <cell r="A62" t="str">
            <v>Adjuvant sur chatier :≙ 0,5 litre pour S3 ≙ 1,5Litre pour un S4 ≙ 2,5 pour S5</v>
          </cell>
        </row>
        <row r="63">
          <cell r="A63" t="str">
            <v xml:space="preserve">Absorption d'eau limitée suivant l 'annexe O de la EN 206-1 </v>
          </cell>
        </row>
        <row r="64">
          <cell r="A64" t="str">
            <v>AIR  : ≥ 3% ≤ 6%  pour le qualiroute</v>
          </cell>
        </row>
        <row r="65">
          <cell r="A65" t="str">
            <v>AIR D/max 20mm : ≥ 4% ≤ 8%</v>
          </cell>
        </row>
        <row r="66">
          <cell r="A66" t="str">
            <v>AIR D/max 16mm : ≥ 5% ≤ 9%</v>
          </cell>
        </row>
        <row r="67">
          <cell r="A67" t="str">
            <v>AIR D/max 10mm : ≥ 6% ≤ 10%</v>
          </cell>
        </row>
      </sheetData>
      <sheetData sheetId="11" refreshError="1"/>
      <sheetData sheetId="12" refreshError="1"/>
      <sheetData sheetId="13" refreshError="1"/>
      <sheetData sheetId="14" refreshError="1"/>
      <sheetData sheetId="15">
        <row r="50">
          <cell r="E50" t="str">
            <v>C12/15</v>
          </cell>
          <cell r="F50">
            <v>15</v>
          </cell>
          <cell r="G50" t="str">
            <v>EI</v>
          </cell>
          <cell r="H50" t="str">
            <v>Béton armés</v>
          </cell>
          <cell r="J50" t="str">
            <v>BNA</v>
          </cell>
          <cell r="K50" t="str">
            <v>Application intérieure</v>
          </cell>
          <cell r="N50" t="str">
            <v>S1</v>
          </cell>
        </row>
        <row r="51">
          <cell r="E51" t="str">
            <v>C16/20</v>
          </cell>
          <cell r="F51">
            <v>20</v>
          </cell>
          <cell r="G51" t="str">
            <v>EE1</v>
          </cell>
          <cell r="H51" t="str">
            <v>Béton non armés</v>
          </cell>
          <cell r="J51" t="str">
            <v>BA</v>
          </cell>
          <cell r="K51" t="str">
            <v>Pas de glel</v>
          </cell>
          <cell r="N51" t="str">
            <v>S2</v>
          </cell>
        </row>
        <row r="52">
          <cell r="E52" t="str">
            <v>C20/25</v>
          </cell>
          <cell r="F52">
            <v>25</v>
          </cell>
          <cell r="G52" t="str">
            <v>EE2</v>
          </cell>
          <cell r="J52" t="str">
            <v>BP</v>
          </cell>
          <cell r="K52" t="str">
            <v>Gel mais pas de contact avec la pluie</v>
          </cell>
          <cell r="N52" t="str">
            <v>S3</v>
          </cell>
        </row>
        <row r="53">
          <cell r="E53" t="str">
            <v>C25/30</v>
          </cell>
          <cell r="F53">
            <v>30</v>
          </cell>
          <cell r="G53" t="str">
            <v>EE3</v>
          </cell>
          <cell r="K53" t="str">
            <v>Gel et contact avec la pluie</v>
          </cell>
          <cell r="N53" t="str">
            <v>S4</v>
          </cell>
        </row>
        <row r="54">
          <cell r="E54" t="str">
            <v>C30/37</v>
          </cell>
          <cell r="F54">
            <v>37</v>
          </cell>
          <cell r="G54" t="str">
            <v>EE4</v>
          </cell>
          <cell r="K54" t="str">
            <v>Gel et agents de déverglaçage</v>
          </cell>
          <cell r="N54" t="str">
            <v>S5</v>
          </cell>
        </row>
        <row r="55">
          <cell r="E55" t="str">
            <v>C35/45</v>
          </cell>
          <cell r="F55">
            <v>45</v>
          </cell>
          <cell r="G55" t="str">
            <v>EE4(A)</v>
          </cell>
          <cell r="K55" t="str">
            <v>Environnement à faible agrèssivité chimique</v>
          </cell>
        </row>
        <row r="56">
          <cell r="E56" t="str">
            <v>C45/50</v>
          </cell>
          <cell r="F56">
            <v>50</v>
          </cell>
          <cell r="G56" t="str">
            <v>EA1-EE2</v>
          </cell>
          <cell r="K56" t="str">
            <v>Environnement d'agrèssivité chimique modérée</v>
          </cell>
        </row>
        <row r="57">
          <cell r="E57" t="str">
            <v>C50/60</v>
          </cell>
          <cell r="F57">
            <v>60</v>
          </cell>
          <cell r="G57" t="str">
            <v>EA2-EE3</v>
          </cell>
          <cell r="K57" t="str">
            <v>Environnement à forte agrèssivité chimique</v>
          </cell>
        </row>
        <row r="58">
          <cell r="G58" t="str">
            <v>EA3-EE4</v>
          </cell>
        </row>
      </sheetData>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quelettes réference"/>
      <sheetName val="Recette"/>
      <sheetName val="DOSAGE"/>
      <sheetName val="BRULAGE"/>
      <sheetName val="Corrélation -cosistance"/>
      <sheetName val="Adjuvant"/>
      <sheetName val="Fuseaux réference"/>
      <sheetName val="Ciments"/>
      <sheetName val="Granulats"/>
      <sheetName val="Sheet1"/>
      <sheetName val="Cacule de Matutrité"/>
      <sheetName val="Fiche Technique"/>
      <sheetName val="EC"/>
      <sheetName val="PRELEVEMENTS"/>
      <sheetName val="STATISTIQUES"/>
    </sheetNames>
    <sheetDataSet>
      <sheetData sheetId="0">
        <row r="1">
          <cell r="C1" t="str">
            <v>Maigre-22mm</v>
          </cell>
          <cell r="D1" t="str">
            <v>Maigre 0-22mm</v>
          </cell>
          <cell r="E1" t="str">
            <v xml:space="preserve">Normale 22mm </v>
          </cell>
          <cell r="F1" t="str">
            <v xml:space="preserve">Dalle &amp; Pompe - 22mm </v>
          </cell>
          <cell r="G1" t="str">
            <v>Dalle &amp; Pompe et Poussier- 22mm</v>
          </cell>
          <cell r="H1" t="str">
            <v xml:space="preserve">BR - 22mm </v>
          </cell>
          <cell r="I1" t="str">
            <v>Fibres- 22mm</v>
          </cell>
          <cell r="J1" t="str">
            <v>Imprimé-16mm</v>
          </cell>
          <cell r="K1" t="str">
            <v>BR1</v>
          </cell>
          <cell r="L1" t="str">
            <v>BR2</v>
          </cell>
          <cell r="M1" t="str">
            <v>BR-20-MACHINE</v>
          </cell>
          <cell r="N1" t="str">
            <v>BR-350</v>
          </cell>
          <cell r="O1" t="str">
            <v>BR-CV</v>
          </cell>
          <cell r="P1" t="str">
            <v>BR-16</v>
          </cell>
          <cell r="Q1" t="str">
            <v>BMP</v>
          </cell>
          <cell r="R1" t="str">
            <v>HIGH RESISTANCE TO SHORT-TERM</v>
          </cell>
          <cell r="S1" t="str">
            <v>R20disc Machine</v>
          </cell>
          <cell r="T1" t="str">
            <v>R20silen PORPHYRE</v>
          </cell>
          <cell r="U1" t="str">
            <v>RR/GRANITE</v>
          </cell>
          <cell r="V1" t="str">
            <v>BR 08 RHIN Lomel</v>
          </cell>
          <cell r="W1" t="str">
            <v>BR 08 RHIN</v>
          </cell>
          <cell r="X1" t="str">
            <v>BR Désactivé</v>
          </cell>
          <cell r="Y1" t="str">
            <v>Fibres- 22mm Rhin</v>
          </cell>
          <cell r="Z1" t="str">
            <v>Fibres-16mm Rhin</v>
          </cell>
          <cell r="AA1" t="str">
            <v>≦ Fibres 16mm 25/30</v>
          </cell>
          <cell r="AB1" t="str">
            <v>R14 silen PORPHYRE</v>
          </cell>
          <cell r="AC1" t="str">
            <v>ac</v>
          </cell>
          <cell r="AD1" t="str">
            <v>ad</v>
          </cell>
          <cell r="AE1" t="str">
            <v>ae</v>
          </cell>
          <cell r="AF1" t="str">
            <v>af</v>
          </cell>
          <cell r="AG1" t="str">
            <v>ag</v>
          </cell>
          <cell r="AH1" t="str">
            <v>ah</v>
          </cell>
          <cell r="AI1" t="str">
            <v>ai</v>
          </cell>
          <cell r="AJ1" t="str">
            <v>aj</v>
          </cell>
          <cell r="AK1" t="str">
            <v>ak</v>
          </cell>
          <cell r="AL1" t="str">
            <v>al</v>
          </cell>
          <cell r="AM1" t="str">
            <v>am</v>
          </cell>
          <cell r="AN1" t="str">
            <v>an</v>
          </cell>
          <cell r="AO1" t="str">
            <v>ao</v>
          </cell>
          <cell r="AP1" t="str">
            <v>ap</v>
          </cell>
          <cell r="AQ1" t="str">
            <v>aq</v>
          </cell>
          <cell r="AR1" t="str">
            <v>ar</v>
          </cell>
        </row>
        <row r="2">
          <cell r="C2">
            <v>0.3</v>
          </cell>
          <cell r="D2">
            <v>1</v>
          </cell>
          <cell r="E2">
            <v>0.26</v>
          </cell>
          <cell r="F2">
            <v>0.3</v>
          </cell>
          <cell r="G2">
            <v>0.3</v>
          </cell>
          <cell r="H2">
            <v>0.26</v>
          </cell>
          <cell r="I2">
            <v>0.3</v>
          </cell>
          <cell r="J2">
            <v>0.3</v>
          </cell>
          <cell r="K2">
            <v>0.5</v>
          </cell>
          <cell r="L2"/>
          <cell r="M2">
            <v>1</v>
          </cell>
          <cell r="N2">
            <v>1</v>
          </cell>
          <cell r="O2">
            <v>0.50373850175278845</v>
          </cell>
          <cell r="P2">
            <v>0.3</v>
          </cell>
          <cell r="Q2">
            <v>0.50373850175278845</v>
          </cell>
          <cell r="R2">
            <v>0</v>
          </cell>
          <cell r="S2">
            <v>0</v>
          </cell>
          <cell r="T2">
            <v>0</v>
          </cell>
          <cell r="U2">
            <v>0</v>
          </cell>
          <cell r="V2">
            <v>0.5</v>
          </cell>
          <cell r="W2">
            <v>0</v>
          </cell>
          <cell r="X2">
            <v>0</v>
          </cell>
          <cell r="Y2">
            <v>0.3</v>
          </cell>
          <cell r="Z2">
            <v>0.3</v>
          </cell>
          <cell r="AA2">
            <v>0</v>
          </cell>
          <cell r="AB2">
            <v>0</v>
          </cell>
          <cell r="AC2"/>
          <cell r="AD2"/>
          <cell r="AE2"/>
          <cell r="AF2"/>
          <cell r="AG2"/>
          <cell r="AH2"/>
          <cell r="AI2"/>
          <cell r="AJ2"/>
          <cell r="AK2"/>
          <cell r="AL2"/>
          <cell r="AM2"/>
          <cell r="AN2"/>
          <cell r="AO2"/>
          <cell r="AP2"/>
          <cell r="AQ2"/>
          <cell r="AR2"/>
        </row>
        <row r="3">
          <cell r="C3">
            <v>1.5</v>
          </cell>
          <cell r="D3">
            <v>5</v>
          </cell>
          <cell r="E3">
            <v>1.48</v>
          </cell>
          <cell r="F3">
            <v>1.5</v>
          </cell>
          <cell r="G3">
            <v>1.5</v>
          </cell>
          <cell r="H3">
            <v>1.48</v>
          </cell>
          <cell r="I3">
            <v>1.5</v>
          </cell>
          <cell r="J3">
            <v>1.5</v>
          </cell>
          <cell r="K3">
            <v>5</v>
          </cell>
          <cell r="L3"/>
          <cell r="M3">
            <v>2</v>
          </cell>
          <cell r="N3">
            <v>10</v>
          </cell>
          <cell r="O3">
            <v>2.1670050027567287</v>
          </cell>
          <cell r="P3">
            <v>1.5</v>
          </cell>
          <cell r="Q3">
            <v>2.1670050027567287</v>
          </cell>
          <cell r="R3">
            <v>0.3</v>
          </cell>
          <cell r="S3">
            <v>0</v>
          </cell>
          <cell r="T3">
            <v>0.3</v>
          </cell>
          <cell r="U3">
            <v>4.8</v>
          </cell>
          <cell r="V3">
            <v>1.8</v>
          </cell>
          <cell r="W3">
            <v>4.8</v>
          </cell>
          <cell r="X3">
            <v>4.8</v>
          </cell>
          <cell r="Y3">
            <v>1.5</v>
          </cell>
          <cell r="Z3">
            <v>1.5</v>
          </cell>
          <cell r="AA3">
            <v>4.8</v>
          </cell>
          <cell r="AB3">
            <v>0.3</v>
          </cell>
          <cell r="AC3"/>
          <cell r="AD3"/>
          <cell r="AE3"/>
          <cell r="AF3"/>
          <cell r="AG3"/>
          <cell r="AH3"/>
          <cell r="AI3"/>
          <cell r="AJ3"/>
          <cell r="AK3"/>
          <cell r="AL3"/>
          <cell r="AM3"/>
          <cell r="AN3"/>
          <cell r="AO3"/>
          <cell r="AP3"/>
          <cell r="AQ3"/>
          <cell r="AR3"/>
        </row>
        <row r="4">
          <cell r="C4">
            <v>7.2</v>
          </cell>
          <cell r="D4">
            <v>12</v>
          </cell>
          <cell r="E4">
            <v>7.17</v>
          </cell>
          <cell r="F4">
            <v>7.2</v>
          </cell>
          <cell r="G4">
            <v>7.2</v>
          </cell>
          <cell r="H4">
            <v>7.17</v>
          </cell>
          <cell r="I4">
            <v>7.2</v>
          </cell>
          <cell r="J4">
            <v>7.2</v>
          </cell>
          <cell r="K4">
            <v>15</v>
          </cell>
          <cell r="L4"/>
          <cell r="M4">
            <v>9</v>
          </cell>
          <cell r="N4">
            <v>25</v>
          </cell>
          <cell r="O4">
            <v>6.3633417989327556</v>
          </cell>
          <cell r="P4">
            <v>7.2</v>
          </cell>
          <cell r="Q4">
            <v>6.3633417989327556</v>
          </cell>
          <cell r="R4">
            <v>10</v>
          </cell>
          <cell r="S4">
            <v>0.3</v>
          </cell>
          <cell r="T4">
            <v>10</v>
          </cell>
          <cell r="U4">
            <v>15.4</v>
          </cell>
          <cell r="V4">
            <v>9.4</v>
          </cell>
          <cell r="W4">
            <v>15.4</v>
          </cell>
          <cell r="X4">
            <v>15.4</v>
          </cell>
          <cell r="Y4">
            <v>7.2</v>
          </cell>
          <cell r="Z4">
            <v>7.2</v>
          </cell>
          <cell r="AA4">
            <v>15.4</v>
          </cell>
          <cell r="AB4">
            <v>10</v>
          </cell>
          <cell r="AC4"/>
          <cell r="AD4"/>
          <cell r="AE4"/>
          <cell r="AF4"/>
          <cell r="AG4"/>
          <cell r="AH4"/>
          <cell r="AI4"/>
          <cell r="AJ4"/>
          <cell r="AK4"/>
          <cell r="AL4"/>
          <cell r="AM4"/>
          <cell r="AN4"/>
          <cell r="AO4"/>
          <cell r="AP4"/>
          <cell r="AQ4"/>
          <cell r="AR4"/>
        </row>
        <row r="5">
          <cell r="C5">
            <v>19.100000000000001</v>
          </cell>
          <cell r="D5">
            <v>19.100000000000001</v>
          </cell>
          <cell r="E5">
            <v>19.14</v>
          </cell>
          <cell r="F5">
            <v>19.100000000000001</v>
          </cell>
          <cell r="G5">
            <v>19.100000000000001</v>
          </cell>
          <cell r="H5">
            <v>19.14</v>
          </cell>
          <cell r="I5">
            <v>19.100000000000001</v>
          </cell>
          <cell r="J5">
            <v>19.100000000000001</v>
          </cell>
          <cell r="K5">
            <v>22.5</v>
          </cell>
          <cell r="L5"/>
          <cell r="M5">
            <v>22</v>
          </cell>
          <cell r="N5">
            <v>30</v>
          </cell>
          <cell r="O5">
            <v>22.479716795869173</v>
          </cell>
          <cell r="P5">
            <v>19.100000000000001</v>
          </cell>
          <cell r="Q5">
            <v>22.479716795869173</v>
          </cell>
          <cell r="R5">
            <v>22</v>
          </cell>
          <cell r="S5">
            <v>10</v>
          </cell>
          <cell r="T5">
            <v>22</v>
          </cell>
          <cell r="U5">
            <v>27.2</v>
          </cell>
          <cell r="V5">
            <v>22.4</v>
          </cell>
          <cell r="W5">
            <v>27.2</v>
          </cell>
          <cell r="X5">
            <v>27.2</v>
          </cell>
          <cell r="Y5">
            <v>19.100000000000001</v>
          </cell>
          <cell r="Z5">
            <v>19.100000000000001</v>
          </cell>
          <cell r="AA5">
            <v>27.2</v>
          </cell>
          <cell r="AB5">
            <v>22</v>
          </cell>
          <cell r="AC5"/>
          <cell r="AD5"/>
          <cell r="AE5"/>
          <cell r="AF5"/>
          <cell r="AG5"/>
          <cell r="AH5"/>
          <cell r="AI5"/>
          <cell r="AJ5"/>
          <cell r="AK5"/>
          <cell r="AL5"/>
          <cell r="AM5"/>
          <cell r="AN5"/>
          <cell r="AO5"/>
          <cell r="AP5"/>
          <cell r="AQ5"/>
          <cell r="AR5"/>
        </row>
        <row r="6">
          <cell r="C6">
            <v>35.200000000000003</v>
          </cell>
          <cell r="D6">
            <v>35.200000000000003</v>
          </cell>
          <cell r="E6">
            <v>35.200000000000003</v>
          </cell>
          <cell r="F6">
            <v>32.4</v>
          </cell>
          <cell r="G6">
            <v>32.4</v>
          </cell>
          <cell r="H6">
            <v>35.200000000000003</v>
          </cell>
          <cell r="I6">
            <v>32.4</v>
          </cell>
          <cell r="J6">
            <v>35.200000000000003</v>
          </cell>
          <cell r="K6">
            <v>26</v>
          </cell>
          <cell r="L6"/>
          <cell r="M6">
            <v>31</v>
          </cell>
          <cell r="N6">
            <v>33.5</v>
          </cell>
          <cell r="O6">
            <v>31.138640670492467</v>
          </cell>
          <cell r="P6">
            <v>35.200000000000003</v>
          </cell>
          <cell r="Q6">
            <v>31.138640670492467</v>
          </cell>
          <cell r="R6">
            <v>30</v>
          </cell>
          <cell r="S6">
            <v>22</v>
          </cell>
          <cell r="T6">
            <v>30</v>
          </cell>
          <cell r="U6">
            <v>34</v>
          </cell>
          <cell r="V6">
            <v>34</v>
          </cell>
          <cell r="W6">
            <v>34</v>
          </cell>
          <cell r="X6">
            <v>34</v>
          </cell>
          <cell r="Y6">
            <v>32.4</v>
          </cell>
          <cell r="Z6">
            <v>32.4</v>
          </cell>
          <cell r="AA6">
            <v>34</v>
          </cell>
          <cell r="AB6">
            <v>30</v>
          </cell>
          <cell r="AC6"/>
          <cell r="AD6"/>
          <cell r="AE6"/>
          <cell r="AF6"/>
          <cell r="AG6"/>
          <cell r="AH6"/>
          <cell r="AI6"/>
          <cell r="AJ6"/>
          <cell r="AK6"/>
          <cell r="AL6"/>
          <cell r="AM6"/>
          <cell r="AN6"/>
          <cell r="AO6"/>
          <cell r="AP6"/>
          <cell r="AQ6"/>
          <cell r="AR6"/>
        </row>
        <row r="7">
          <cell r="C7">
            <v>39.6</v>
          </cell>
          <cell r="D7">
            <v>39.6</v>
          </cell>
          <cell r="E7">
            <v>39.56</v>
          </cell>
          <cell r="F7">
            <v>39.6</v>
          </cell>
          <cell r="G7">
            <v>39.6</v>
          </cell>
          <cell r="H7">
            <v>39.56</v>
          </cell>
          <cell r="I7">
            <v>39.6</v>
          </cell>
          <cell r="J7">
            <v>39.6</v>
          </cell>
          <cell r="K7">
            <v>34</v>
          </cell>
          <cell r="L7">
            <v>35</v>
          </cell>
          <cell r="M7">
            <v>37</v>
          </cell>
          <cell r="N7">
            <v>37.5</v>
          </cell>
          <cell r="O7">
            <v>38.805715439098158</v>
          </cell>
          <cell r="P7">
            <v>39.6</v>
          </cell>
          <cell r="Q7">
            <v>38.805715439098158</v>
          </cell>
          <cell r="R7">
            <v>33</v>
          </cell>
          <cell r="S7">
            <v>30</v>
          </cell>
          <cell r="T7">
            <v>33</v>
          </cell>
          <cell r="U7">
            <v>55.2</v>
          </cell>
          <cell r="V7">
            <v>55.2</v>
          </cell>
          <cell r="W7">
            <v>55.2</v>
          </cell>
          <cell r="X7">
            <v>55.2</v>
          </cell>
          <cell r="Y7">
            <v>39.6</v>
          </cell>
          <cell r="Z7">
            <v>39.6</v>
          </cell>
          <cell r="AA7">
            <v>55.2</v>
          </cell>
          <cell r="AB7">
            <v>33</v>
          </cell>
          <cell r="AC7"/>
          <cell r="AD7"/>
          <cell r="AE7"/>
          <cell r="AF7"/>
          <cell r="AG7"/>
          <cell r="AH7"/>
          <cell r="AI7"/>
          <cell r="AJ7"/>
          <cell r="AK7"/>
          <cell r="AL7"/>
          <cell r="AM7"/>
          <cell r="AN7"/>
          <cell r="AO7"/>
          <cell r="AP7"/>
          <cell r="AQ7"/>
          <cell r="AR7"/>
        </row>
        <row r="8">
          <cell r="C8">
            <v>47.3</v>
          </cell>
          <cell r="D8">
            <v>47.3</v>
          </cell>
          <cell r="E8">
            <v>47.3</v>
          </cell>
          <cell r="F8">
            <v>47.3</v>
          </cell>
          <cell r="G8">
            <v>47.3</v>
          </cell>
          <cell r="H8">
            <v>50.4</v>
          </cell>
          <cell r="I8">
            <v>47.3</v>
          </cell>
          <cell r="J8">
            <v>56</v>
          </cell>
          <cell r="K8">
            <v>40</v>
          </cell>
          <cell r="L8">
            <v>42.5</v>
          </cell>
          <cell r="M8">
            <v>51</v>
          </cell>
          <cell r="N8">
            <v>43</v>
          </cell>
          <cell r="O8">
            <v>47.421048752633503</v>
          </cell>
          <cell r="P8">
            <v>56</v>
          </cell>
          <cell r="Q8">
            <v>47.421048752633503</v>
          </cell>
          <cell r="R8">
            <v>42</v>
          </cell>
          <cell r="S8">
            <v>33</v>
          </cell>
          <cell r="T8">
            <v>37</v>
          </cell>
          <cell r="U8">
            <v>65.400000000000006</v>
          </cell>
          <cell r="V8">
            <v>65.400000000000006</v>
          </cell>
          <cell r="W8">
            <v>65.400000000000006</v>
          </cell>
          <cell r="X8">
            <v>65.400000000000006</v>
          </cell>
          <cell r="Y8">
            <v>47.3</v>
          </cell>
          <cell r="Z8">
            <v>47.3</v>
          </cell>
          <cell r="AA8">
            <v>65.400000000000006</v>
          </cell>
          <cell r="AB8">
            <v>37</v>
          </cell>
          <cell r="AC8"/>
          <cell r="AD8"/>
          <cell r="AE8"/>
          <cell r="AF8"/>
          <cell r="AG8"/>
          <cell r="AH8"/>
          <cell r="AI8"/>
          <cell r="AJ8"/>
          <cell r="AK8"/>
          <cell r="AL8"/>
          <cell r="AM8"/>
          <cell r="AN8"/>
          <cell r="AO8"/>
          <cell r="AP8"/>
          <cell r="AQ8"/>
          <cell r="AR8"/>
        </row>
        <row r="9">
          <cell r="C9">
            <v>60</v>
          </cell>
          <cell r="D9">
            <v>60</v>
          </cell>
          <cell r="E9">
            <v>54</v>
          </cell>
          <cell r="F9">
            <v>60.5</v>
          </cell>
          <cell r="G9">
            <v>60.5</v>
          </cell>
          <cell r="H9">
            <v>65.8</v>
          </cell>
          <cell r="I9">
            <v>60.5</v>
          </cell>
          <cell r="J9">
            <v>61</v>
          </cell>
          <cell r="K9">
            <v>46</v>
          </cell>
          <cell r="L9">
            <v>50</v>
          </cell>
          <cell r="M9">
            <v>58</v>
          </cell>
          <cell r="N9">
            <v>48.5</v>
          </cell>
          <cell r="O9">
            <v>57.00373420882196</v>
          </cell>
          <cell r="P9">
            <v>61</v>
          </cell>
          <cell r="Q9">
            <v>57.00373420882196</v>
          </cell>
          <cell r="R9">
            <v>55</v>
          </cell>
          <cell r="S9">
            <v>42</v>
          </cell>
          <cell r="T9">
            <v>55</v>
          </cell>
          <cell r="U9">
            <v>70.2</v>
          </cell>
          <cell r="V9">
            <v>70.2</v>
          </cell>
          <cell r="W9">
            <v>70.2</v>
          </cell>
          <cell r="X9">
            <v>70.2</v>
          </cell>
          <cell r="Y9">
            <v>60.5</v>
          </cell>
          <cell r="Z9">
            <v>60.5</v>
          </cell>
          <cell r="AA9">
            <v>70.2</v>
          </cell>
          <cell r="AB9">
            <v>55</v>
          </cell>
          <cell r="AC9"/>
          <cell r="AD9"/>
          <cell r="AE9"/>
          <cell r="AF9"/>
          <cell r="AG9"/>
          <cell r="AH9"/>
          <cell r="AI9"/>
          <cell r="AJ9"/>
          <cell r="AK9"/>
          <cell r="AL9"/>
          <cell r="AM9"/>
          <cell r="AN9"/>
          <cell r="AO9"/>
          <cell r="AP9"/>
          <cell r="AQ9"/>
          <cell r="AR9"/>
        </row>
        <row r="10">
          <cell r="C10">
            <v>70</v>
          </cell>
          <cell r="D10">
            <v>70</v>
          </cell>
          <cell r="E10">
            <v>56.7</v>
          </cell>
          <cell r="F10">
            <v>65.8</v>
          </cell>
          <cell r="G10">
            <v>65.8</v>
          </cell>
          <cell r="H10">
            <v>70.7</v>
          </cell>
          <cell r="I10">
            <v>65.8</v>
          </cell>
          <cell r="J10">
            <v>75</v>
          </cell>
          <cell r="K10">
            <v>50</v>
          </cell>
          <cell r="L10">
            <v>56.5</v>
          </cell>
          <cell r="M10">
            <v>64.2</v>
          </cell>
          <cell r="N10">
            <v>54</v>
          </cell>
          <cell r="O10">
            <v>64.086588676439519</v>
          </cell>
          <cell r="P10">
            <v>75</v>
          </cell>
          <cell r="Q10">
            <v>64.086588676439519</v>
          </cell>
          <cell r="R10">
            <v>65</v>
          </cell>
          <cell r="S10">
            <v>55</v>
          </cell>
          <cell r="T10">
            <v>65</v>
          </cell>
          <cell r="U10">
            <v>78.8</v>
          </cell>
          <cell r="V10">
            <v>78.8</v>
          </cell>
          <cell r="W10">
            <v>78.8</v>
          </cell>
          <cell r="X10">
            <v>78.8</v>
          </cell>
          <cell r="Y10">
            <v>65.8</v>
          </cell>
          <cell r="Z10">
            <v>65.8</v>
          </cell>
          <cell r="AA10">
            <v>78.8</v>
          </cell>
          <cell r="AB10">
            <v>65</v>
          </cell>
          <cell r="AC10"/>
          <cell r="AD10"/>
          <cell r="AE10"/>
          <cell r="AF10"/>
          <cell r="AG10"/>
          <cell r="AH10"/>
          <cell r="AI10"/>
          <cell r="AJ10"/>
          <cell r="AK10"/>
          <cell r="AL10"/>
          <cell r="AM10"/>
          <cell r="AN10"/>
          <cell r="AO10"/>
          <cell r="AP10"/>
          <cell r="AQ10"/>
          <cell r="AR10"/>
        </row>
        <row r="11">
          <cell r="C11">
            <v>75</v>
          </cell>
          <cell r="D11">
            <v>75</v>
          </cell>
          <cell r="E11">
            <v>60.43</v>
          </cell>
          <cell r="F11">
            <v>70.7</v>
          </cell>
          <cell r="G11">
            <v>70.7</v>
          </cell>
          <cell r="H11">
            <v>80.400000000000006</v>
          </cell>
          <cell r="I11">
            <v>70.7</v>
          </cell>
          <cell r="J11">
            <v>79</v>
          </cell>
          <cell r="K11">
            <v>54.166666666666664</v>
          </cell>
          <cell r="L11">
            <v>61.833333333333336</v>
          </cell>
          <cell r="M11">
            <v>74</v>
          </cell>
          <cell r="N11">
            <v>58.833333333333336</v>
          </cell>
          <cell r="O11">
            <v>69.946436870084568</v>
          </cell>
          <cell r="P11">
            <v>79</v>
          </cell>
          <cell r="Q11">
            <v>69.946436870084568</v>
          </cell>
          <cell r="R11">
            <v>75</v>
          </cell>
          <cell r="S11">
            <v>65</v>
          </cell>
          <cell r="T11">
            <v>75</v>
          </cell>
          <cell r="U11">
            <v>84.3</v>
          </cell>
          <cell r="V11">
            <v>100</v>
          </cell>
          <cell r="W11">
            <v>100</v>
          </cell>
          <cell r="X11">
            <v>84.3</v>
          </cell>
          <cell r="Y11">
            <v>70.7</v>
          </cell>
          <cell r="Z11">
            <v>70.7</v>
          </cell>
          <cell r="AA11">
            <v>84.3</v>
          </cell>
          <cell r="AB11">
            <v>75</v>
          </cell>
          <cell r="AC11"/>
          <cell r="AD11"/>
          <cell r="AE11"/>
          <cell r="AF11"/>
          <cell r="AG11"/>
          <cell r="AH11"/>
          <cell r="AI11"/>
          <cell r="AJ11"/>
          <cell r="AK11"/>
          <cell r="AL11"/>
          <cell r="AM11"/>
          <cell r="AN11"/>
          <cell r="AO11"/>
          <cell r="AP11"/>
          <cell r="AQ11"/>
          <cell r="AR11"/>
        </row>
        <row r="12">
          <cell r="C12">
            <v>85</v>
          </cell>
          <cell r="D12">
            <v>80</v>
          </cell>
          <cell r="E12">
            <v>65</v>
          </cell>
          <cell r="F12">
            <v>80.400000000000006</v>
          </cell>
          <cell r="G12">
            <v>80.400000000000006</v>
          </cell>
          <cell r="H12">
            <v>90.1</v>
          </cell>
          <cell r="I12">
            <v>80.400000000000006</v>
          </cell>
          <cell r="J12">
            <v>85</v>
          </cell>
          <cell r="K12">
            <v>62.5</v>
          </cell>
          <cell r="L12">
            <v>72.5</v>
          </cell>
          <cell r="M12">
            <v>82</v>
          </cell>
          <cell r="N12">
            <v>68.5</v>
          </cell>
          <cell r="O12">
            <v>81.666133257374668</v>
          </cell>
          <cell r="P12">
            <v>85</v>
          </cell>
          <cell r="Q12">
            <v>81.666133257374668</v>
          </cell>
          <cell r="R12">
            <v>85</v>
          </cell>
          <cell r="S12">
            <v>75</v>
          </cell>
          <cell r="T12">
            <v>85</v>
          </cell>
          <cell r="U12">
            <v>89.1</v>
          </cell>
          <cell r="V12">
            <v>100</v>
          </cell>
          <cell r="W12">
            <v>100</v>
          </cell>
          <cell r="X12">
            <v>89.1</v>
          </cell>
          <cell r="Y12">
            <v>80.400000000000006</v>
          </cell>
          <cell r="Z12">
            <v>80.400000000000006</v>
          </cell>
          <cell r="AA12">
            <v>89.1</v>
          </cell>
          <cell r="AB12">
            <v>85</v>
          </cell>
          <cell r="AC12"/>
          <cell r="AD12"/>
          <cell r="AE12"/>
          <cell r="AF12"/>
          <cell r="AG12"/>
          <cell r="AH12"/>
          <cell r="AI12"/>
          <cell r="AJ12"/>
          <cell r="AK12"/>
          <cell r="AL12"/>
          <cell r="AM12"/>
          <cell r="AN12"/>
          <cell r="AO12"/>
          <cell r="AP12"/>
          <cell r="AQ12"/>
          <cell r="AR12"/>
        </row>
        <row r="13">
          <cell r="C13">
            <v>90</v>
          </cell>
          <cell r="D13">
            <v>94</v>
          </cell>
          <cell r="E13">
            <v>80.319999999999993</v>
          </cell>
          <cell r="F13">
            <v>90.1</v>
          </cell>
          <cell r="G13">
            <v>90.1</v>
          </cell>
          <cell r="H13">
            <v>94.2</v>
          </cell>
          <cell r="I13">
            <v>90.1</v>
          </cell>
          <cell r="J13">
            <v>90</v>
          </cell>
          <cell r="K13">
            <v>74</v>
          </cell>
          <cell r="L13">
            <v>80</v>
          </cell>
          <cell r="M13">
            <v>89.2</v>
          </cell>
          <cell r="N13">
            <v>77</v>
          </cell>
          <cell r="O13">
            <v>87.09791621647922</v>
          </cell>
          <cell r="P13">
            <v>90</v>
          </cell>
          <cell r="Q13">
            <v>87.09791621647922</v>
          </cell>
          <cell r="R13">
            <v>88</v>
          </cell>
          <cell r="S13">
            <v>85</v>
          </cell>
          <cell r="T13">
            <v>90</v>
          </cell>
          <cell r="U13">
            <v>95.7</v>
          </cell>
          <cell r="V13">
            <v>100</v>
          </cell>
          <cell r="W13">
            <v>100</v>
          </cell>
          <cell r="X13">
            <v>95.7</v>
          </cell>
          <cell r="Y13">
            <v>90.1</v>
          </cell>
          <cell r="Z13">
            <v>90.1</v>
          </cell>
          <cell r="AA13">
            <v>95.7</v>
          </cell>
          <cell r="AB13">
            <v>90</v>
          </cell>
          <cell r="AC13"/>
          <cell r="AD13"/>
          <cell r="AE13"/>
          <cell r="AF13"/>
          <cell r="AG13"/>
          <cell r="AH13"/>
          <cell r="AI13"/>
          <cell r="AJ13"/>
          <cell r="AK13"/>
          <cell r="AL13"/>
          <cell r="AM13"/>
          <cell r="AN13"/>
          <cell r="AO13"/>
          <cell r="AP13"/>
          <cell r="AQ13"/>
          <cell r="AR13"/>
        </row>
        <row r="14">
          <cell r="C14">
            <v>94.6</v>
          </cell>
          <cell r="D14">
            <v>96</v>
          </cell>
          <cell r="E14">
            <v>94.62</v>
          </cell>
          <cell r="F14">
            <v>94.2</v>
          </cell>
          <cell r="G14">
            <v>94.2</v>
          </cell>
          <cell r="H14">
            <v>96.4</v>
          </cell>
          <cell r="I14">
            <v>94.2</v>
          </cell>
          <cell r="J14">
            <v>94.6</v>
          </cell>
          <cell r="K14">
            <v>84</v>
          </cell>
          <cell r="L14">
            <v>87.5</v>
          </cell>
          <cell r="M14">
            <v>91.5</v>
          </cell>
          <cell r="N14">
            <v>85.5</v>
          </cell>
          <cell r="O14">
            <v>97.961482134688325</v>
          </cell>
          <cell r="P14">
            <v>94.6</v>
          </cell>
          <cell r="Q14">
            <v>97.961482134688325</v>
          </cell>
          <cell r="R14">
            <v>95</v>
          </cell>
          <cell r="S14">
            <v>88</v>
          </cell>
          <cell r="T14">
            <v>99</v>
          </cell>
          <cell r="U14">
            <v>100</v>
          </cell>
          <cell r="V14">
            <v>100</v>
          </cell>
          <cell r="W14">
            <v>100</v>
          </cell>
          <cell r="X14">
            <v>100</v>
          </cell>
          <cell r="Y14">
            <v>94.2</v>
          </cell>
          <cell r="Z14">
            <v>94.2</v>
          </cell>
          <cell r="AA14">
            <v>100</v>
          </cell>
          <cell r="AB14">
            <v>99</v>
          </cell>
          <cell r="AC14"/>
          <cell r="AD14"/>
          <cell r="AE14"/>
          <cell r="AF14"/>
          <cell r="AG14"/>
          <cell r="AH14"/>
          <cell r="AI14"/>
          <cell r="AJ14"/>
          <cell r="AK14"/>
          <cell r="AL14"/>
          <cell r="AM14"/>
          <cell r="AN14"/>
          <cell r="AO14"/>
          <cell r="AP14"/>
          <cell r="AQ14"/>
          <cell r="AR14"/>
        </row>
        <row r="15">
          <cell r="C15">
            <v>96</v>
          </cell>
          <cell r="D15">
            <v>98</v>
          </cell>
          <cell r="E15">
            <v>97</v>
          </cell>
          <cell r="F15">
            <v>96.4</v>
          </cell>
          <cell r="G15">
            <v>96.4</v>
          </cell>
          <cell r="H15">
            <v>98.9</v>
          </cell>
          <cell r="I15">
            <v>96.4</v>
          </cell>
          <cell r="J15">
            <v>97</v>
          </cell>
          <cell r="K15">
            <v>90.875</v>
          </cell>
          <cell r="L15">
            <v>93.4375</v>
          </cell>
          <cell r="M15">
            <v>96.4</v>
          </cell>
          <cell r="N15">
            <v>91.4375</v>
          </cell>
          <cell r="O15">
            <v>99.235555800508124</v>
          </cell>
          <cell r="P15">
            <v>100</v>
          </cell>
          <cell r="Q15">
            <v>99.235555800508124</v>
          </cell>
          <cell r="R15">
            <v>97</v>
          </cell>
          <cell r="S15">
            <v>95</v>
          </cell>
          <cell r="T15">
            <v>100</v>
          </cell>
          <cell r="U15">
            <v>100</v>
          </cell>
          <cell r="V15">
            <v>100</v>
          </cell>
          <cell r="W15">
            <v>100</v>
          </cell>
          <cell r="X15">
            <v>100</v>
          </cell>
          <cell r="Y15">
            <v>96.4</v>
          </cell>
          <cell r="Z15">
            <v>96.4</v>
          </cell>
          <cell r="AA15">
            <v>100</v>
          </cell>
          <cell r="AB15">
            <v>100</v>
          </cell>
          <cell r="AC15"/>
          <cell r="AD15"/>
          <cell r="AE15"/>
          <cell r="AF15"/>
          <cell r="AG15"/>
          <cell r="AH15"/>
          <cell r="AI15"/>
          <cell r="AJ15"/>
          <cell r="AK15"/>
          <cell r="AL15"/>
          <cell r="AM15"/>
          <cell r="AN15"/>
          <cell r="AO15"/>
          <cell r="AP15"/>
          <cell r="AQ15"/>
          <cell r="AR15"/>
        </row>
        <row r="16">
          <cell r="C16">
            <v>98</v>
          </cell>
          <cell r="D16">
            <v>99</v>
          </cell>
          <cell r="E16">
            <v>98</v>
          </cell>
          <cell r="F16">
            <v>98.9</v>
          </cell>
          <cell r="G16">
            <v>98.9</v>
          </cell>
          <cell r="H16">
            <v>100</v>
          </cell>
          <cell r="I16">
            <v>98.9</v>
          </cell>
          <cell r="J16">
            <v>98</v>
          </cell>
          <cell r="K16">
            <v>95</v>
          </cell>
          <cell r="L16">
            <v>97</v>
          </cell>
          <cell r="M16">
            <v>97.2</v>
          </cell>
          <cell r="N16">
            <v>95</v>
          </cell>
          <cell r="O16">
            <v>100</v>
          </cell>
          <cell r="P16">
            <v>100</v>
          </cell>
          <cell r="Q16">
            <v>100</v>
          </cell>
          <cell r="R16">
            <v>100</v>
          </cell>
          <cell r="S16">
            <v>97</v>
          </cell>
          <cell r="T16">
            <v>100</v>
          </cell>
          <cell r="U16">
            <v>100</v>
          </cell>
          <cell r="V16">
            <v>100</v>
          </cell>
          <cell r="W16">
            <v>100</v>
          </cell>
          <cell r="X16">
            <v>100</v>
          </cell>
          <cell r="Y16">
            <v>98.9</v>
          </cell>
          <cell r="Z16">
            <v>98.9</v>
          </cell>
          <cell r="AA16">
            <v>100</v>
          </cell>
          <cell r="AB16">
            <v>100</v>
          </cell>
          <cell r="AC16"/>
          <cell r="AD16"/>
          <cell r="AE16"/>
          <cell r="AF16"/>
          <cell r="AG16"/>
          <cell r="AH16"/>
          <cell r="AI16"/>
          <cell r="AJ16"/>
          <cell r="AK16"/>
          <cell r="AL16"/>
          <cell r="AM16"/>
          <cell r="AN16"/>
          <cell r="AO16"/>
          <cell r="AP16"/>
          <cell r="AQ16"/>
          <cell r="AR16"/>
        </row>
        <row r="17">
          <cell r="C17">
            <v>100</v>
          </cell>
          <cell r="D17">
            <v>100</v>
          </cell>
          <cell r="E17">
            <v>100</v>
          </cell>
          <cell r="F17">
            <v>100</v>
          </cell>
          <cell r="G17">
            <v>100</v>
          </cell>
          <cell r="H17">
            <v>100</v>
          </cell>
          <cell r="I17">
            <v>100</v>
          </cell>
          <cell r="J17">
            <v>100</v>
          </cell>
          <cell r="K17">
            <v>100</v>
          </cell>
          <cell r="L17">
            <v>100</v>
          </cell>
          <cell r="M17">
            <v>100</v>
          </cell>
          <cell r="N17">
            <v>100</v>
          </cell>
          <cell r="O17">
            <v>100</v>
          </cell>
          <cell r="P17">
            <v>100</v>
          </cell>
          <cell r="Q17">
            <v>100</v>
          </cell>
          <cell r="R17">
            <v>100</v>
          </cell>
          <cell r="S17">
            <v>100</v>
          </cell>
          <cell r="T17">
            <v>100</v>
          </cell>
          <cell r="U17">
            <v>100</v>
          </cell>
          <cell r="V17">
            <v>100</v>
          </cell>
          <cell r="W17">
            <v>100</v>
          </cell>
          <cell r="X17">
            <v>100</v>
          </cell>
          <cell r="Y17">
            <v>100</v>
          </cell>
          <cell r="Z17">
            <v>100</v>
          </cell>
          <cell r="AA17">
            <v>100</v>
          </cell>
          <cell r="AB17">
            <v>100</v>
          </cell>
          <cell r="AC17"/>
          <cell r="AD17"/>
          <cell r="AE17"/>
          <cell r="AF17"/>
          <cell r="AG17"/>
          <cell r="AH17"/>
          <cell r="AI17"/>
          <cell r="AJ17"/>
          <cell r="AK17"/>
          <cell r="AL17"/>
          <cell r="AM17"/>
          <cell r="AN17"/>
          <cell r="AO17"/>
          <cell r="AP17"/>
          <cell r="AQ17"/>
          <cell r="AR17"/>
        </row>
        <row r="18">
          <cell r="C18">
            <v>100</v>
          </cell>
          <cell r="D18">
            <v>100</v>
          </cell>
          <cell r="E18">
            <v>100</v>
          </cell>
          <cell r="F18">
            <v>100</v>
          </cell>
          <cell r="G18">
            <v>100</v>
          </cell>
          <cell r="H18">
            <v>100</v>
          </cell>
          <cell r="I18">
            <v>100</v>
          </cell>
          <cell r="J18">
            <v>100</v>
          </cell>
          <cell r="K18">
            <v>100</v>
          </cell>
          <cell r="L18">
            <v>100</v>
          </cell>
          <cell r="M18">
            <v>100</v>
          </cell>
          <cell r="N18">
            <v>100</v>
          </cell>
          <cell r="O18">
            <v>100</v>
          </cell>
          <cell r="P18">
            <v>100</v>
          </cell>
          <cell r="Q18">
            <v>100</v>
          </cell>
          <cell r="R18">
            <v>100</v>
          </cell>
          <cell r="S18">
            <v>100</v>
          </cell>
          <cell r="T18">
            <v>100</v>
          </cell>
          <cell r="U18">
            <v>100</v>
          </cell>
          <cell r="V18">
            <v>100</v>
          </cell>
          <cell r="W18">
            <v>100</v>
          </cell>
          <cell r="X18">
            <v>100</v>
          </cell>
          <cell r="Y18">
            <v>100</v>
          </cell>
          <cell r="Z18">
            <v>100</v>
          </cell>
          <cell r="AA18">
            <v>100</v>
          </cell>
          <cell r="AB18">
            <v>100</v>
          </cell>
          <cell r="AC18"/>
          <cell r="AD18"/>
          <cell r="AE18"/>
          <cell r="AF18"/>
          <cell r="AG18"/>
          <cell r="AH18"/>
          <cell r="AI18"/>
          <cell r="AJ18"/>
          <cell r="AK18"/>
          <cell r="AL18"/>
          <cell r="AM18"/>
          <cell r="AN18"/>
          <cell r="AO18"/>
          <cell r="AP18"/>
          <cell r="AQ18"/>
          <cell r="AR18"/>
        </row>
        <row r="19">
          <cell r="C19">
            <v>100</v>
          </cell>
          <cell r="D19">
            <v>100</v>
          </cell>
          <cell r="E19">
            <v>100</v>
          </cell>
          <cell r="F19">
            <v>100</v>
          </cell>
          <cell r="G19">
            <v>100</v>
          </cell>
          <cell r="H19">
            <v>100</v>
          </cell>
          <cell r="I19">
            <v>100</v>
          </cell>
          <cell r="J19">
            <v>100</v>
          </cell>
          <cell r="K19">
            <v>100</v>
          </cell>
          <cell r="L19">
            <v>100</v>
          </cell>
          <cell r="M19">
            <v>100</v>
          </cell>
          <cell r="N19">
            <v>100</v>
          </cell>
          <cell r="O19">
            <v>100</v>
          </cell>
          <cell r="P19">
            <v>100</v>
          </cell>
          <cell r="Q19">
            <v>100</v>
          </cell>
          <cell r="R19">
            <v>100</v>
          </cell>
          <cell r="S19">
            <v>100</v>
          </cell>
          <cell r="T19">
            <v>100</v>
          </cell>
          <cell r="U19">
            <v>100</v>
          </cell>
          <cell r="V19">
            <v>100</v>
          </cell>
          <cell r="W19">
            <v>100</v>
          </cell>
          <cell r="X19">
            <v>100</v>
          </cell>
          <cell r="Y19">
            <v>100</v>
          </cell>
          <cell r="Z19">
            <v>100</v>
          </cell>
          <cell r="AA19">
            <v>100</v>
          </cell>
          <cell r="AB19">
            <v>100</v>
          </cell>
          <cell r="AC19"/>
          <cell r="AD19"/>
          <cell r="AE19"/>
          <cell r="AF19"/>
          <cell r="AG19"/>
          <cell r="AH19"/>
          <cell r="AI19"/>
          <cell r="AJ19"/>
          <cell r="AK19"/>
          <cell r="AL19"/>
          <cell r="AM19"/>
          <cell r="AN19"/>
          <cell r="AO19"/>
          <cell r="AP19"/>
          <cell r="AQ19"/>
          <cell r="AR19"/>
        </row>
        <row r="20">
          <cell r="C20">
            <v>100</v>
          </cell>
          <cell r="D20">
            <v>100</v>
          </cell>
          <cell r="E20">
            <v>100</v>
          </cell>
          <cell r="F20">
            <v>100</v>
          </cell>
          <cell r="G20">
            <v>100</v>
          </cell>
          <cell r="H20">
            <v>100</v>
          </cell>
          <cell r="I20">
            <v>100</v>
          </cell>
          <cell r="J20">
            <v>100</v>
          </cell>
          <cell r="K20">
            <v>100</v>
          </cell>
          <cell r="L20">
            <v>100</v>
          </cell>
          <cell r="M20">
            <v>100</v>
          </cell>
          <cell r="N20">
            <v>100</v>
          </cell>
          <cell r="O20">
            <v>100</v>
          </cell>
          <cell r="P20">
            <v>100</v>
          </cell>
          <cell r="Q20">
            <v>100</v>
          </cell>
          <cell r="R20">
            <v>100</v>
          </cell>
          <cell r="S20">
            <v>100</v>
          </cell>
          <cell r="T20">
            <v>100</v>
          </cell>
          <cell r="U20">
            <v>100</v>
          </cell>
          <cell r="V20">
            <v>100</v>
          </cell>
          <cell r="W20">
            <v>100</v>
          </cell>
          <cell r="X20">
            <v>100</v>
          </cell>
          <cell r="Y20">
            <v>100</v>
          </cell>
          <cell r="Z20">
            <v>100</v>
          </cell>
          <cell r="AA20">
            <v>100</v>
          </cell>
          <cell r="AB20">
            <v>100</v>
          </cell>
          <cell r="AC20"/>
          <cell r="AD20"/>
          <cell r="AE20"/>
          <cell r="AF20"/>
          <cell r="AG20"/>
          <cell r="AH20"/>
          <cell r="AI20"/>
          <cell r="AJ20"/>
          <cell r="AK20"/>
          <cell r="AL20"/>
          <cell r="AM20"/>
          <cell r="AN20"/>
          <cell r="AO20"/>
          <cell r="AP20"/>
          <cell r="AQ20"/>
          <cell r="AR20"/>
        </row>
        <row r="22">
          <cell r="C22" t="str">
            <v>Benor squelette maigre</v>
          </cell>
          <cell r="D22" t="str">
            <v>Benor squelette maigre</v>
          </cell>
          <cell r="E22" t="str">
            <v>Benor squelette normal</v>
          </cell>
          <cell r="F22" t="str">
            <v>Benor squelette riche</v>
          </cell>
          <cell r="G22" t="str">
            <v>Benor squelette riche</v>
          </cell>
          <cell r="H22" t="str">
            <v>Benor squelette normal</v>
          </cell>
          <cell r="I22" t="str">
            <v>Benor squelette riche</v>
          </cell>
          <cell r="J22" t="str">
            <v>Benor squelette riche</v>
          </cell>
          <cell r="K22" t="str">
            <v>Autoroutes - routes régionales et communales</v>
          </cell>
          <cell r="L22" t="str">
            <v>Autoroutes - routes régionales et communales</v>
          </cell>
          <cell r="M22" t="str">
            <v>Eléments linéaires
Bordures filet d'eau</v>
          </cell>
          <cell r="N22" t="str">
            <v>Routes agricoles</v>
          </cell>
          <cell r="O22" t="str">
            <v>Compo avec CV</v>
          </cell>
          <cell r="P22" t="str">
            <v xml:space="preserve"> Beton riche 16mm</v>
          </cell>
          <cell r="Q22" t="str">
            <v>Béton maigre pompable</v>
          </cell>
          <cell r="R22" t="str">
            <v>HIGH RESISTANCE TO SHORT-TERM</v>
          </cell>
          <cell r="S22" t="str">
            <v>Béton de route discontinu</v>
          </cell>
          <cell r="T22" t="str">
            <v>Béton de route silencieux</v>
          </cell>
          <cell r="U22" t="str">
            <v>Finition Granite</v>
          </cell>
          <cell r="V22" t="str">
            <v xml:space="preserve">BR 08 pompable </v>
          </cell>
          <cell r="W22" t="str">
            <v xml:space="preserve">BR 08 pompable </v>
          </cell>
          <cell r="X22" t="str">
            <v>Désactivé</v>
          </cell>
          <cell r="Y22" t="str">
            <v>Benor squelette riche que du RHIN</v>
          </cell>
          <cell r="Z22" t="str">
            <v>Benor squelette riche que du RHIN</v>
          </cell>
          <cell r="AA22" t="str">
            <v>Benor squelette riche que du RHIN</v>
          </cell>
          <cell r="AB22" t="str">
            <v>Béton de route silencieux</v>
          </cell>
          <cell r="AC22"/>
          <cell r="AD22"/>
          <cell r="AE22"/>
          <cell r="AF22"/>
          <cell r="AG22"/>
          <cell r="AH22"/>
          <cell r="AI22"/>
          <cell r="AJ22"/>
          <cell r="AK22"/>
          <cell r="AL22"/>
          <cell r="AM22"/>
          <cell r="AN22"/>
          <cell r="AO22"/>
          <cell r="AP22"/>
          <cell r="AQ22"/>
          <cell r="AR22"/>
        </row>
        <row r="23">
          <cell r="C23">
            <v>20</v>
          </cell>
          <cell r="D23">
            <v>20</v>
          </cell>
          <cell r="E23">
            <v>20</v>
          </cell>
          <cell r="F23">
            <v>20</v>
          </cell>
          <cell r="G23">
            <v>20</v>
          </cell>
          <cell r="H23">
            <v>20</v>
          </cell>
          <cell r="I23">
            <v>20</v>
          </cell>
          <cell r="J23">
            <v>16</v>
          </cell>
          <cell r="K23">
            <v>32</v>
          </cell>
          <cell r="L23">
            <v>32</v>
          </cell>
          <cell r="M23">
            <v>20</v>
          </cell>
          <cell r="N23">
            <v>20</v>
          </cell>
          <cell r="O23">
            <v>20</v>
          </cell>
          <cell r="P23">
            <v>16</v>
          </cell>
          <cell r="Q23">
            <v>20</v>
          </cell>
          <cell r="R23">
            <v>20</v>
          </cell>
          <cell r="S23">
            <v>20</v>
          </cell>
          <cell r="T23">
            <v>20</v>
          </cell>
          <cell r="U23">
            <v>16</v>
          </cell>
          <cell r="V23">
            <v>8</v>
          </cell>
          <cell r="W23">
            <v>8</v>
          </cell>
          <cell r="X23" t="str">
            <v>14 Grés</v>
          </cell>
          <cell r="Y23">
            <v>20</v>
          </cell>
          <cell r="Z23">
            <v>16</v>
          </cell>
          <cell r="AA23">
            <v>16</v>
          </cell>
          <cell r="AB23">
            <v>14</v>
          </cell>
          <cell r="AC23"/>
          <cell r="AD23"/>
          <cell r="AE23"/>
          <cell r="AF23"/>
          <cell r="AG23"/>
          <cell r="AH23"/>
          <cell r="AI23"/>
          <cell r="AJ23"/>
          <cell r="AK23"/>
          <cell r="AL23"/>
          <cell r="AM23"/>
          <cell r="AN23"/>
          <cell r="AO23"/>
          <cell r="AP23"/>
          <cell r="AQ23"/>
          <cell r="AR23"/>
        </row>
        <row r="24">
          <cell r="C24" t="str">
            <v>Machine CV</v>
          </cell>
          <cell r="D24" t="str">
            <v>-</v>
          </cell>
          <cell r="E24" t="str">
            <v>-</v>
          </cell>
          <cell r="F24" t="str">
            <v>-</v>
          </cell>
          <cell r="G24" t="str">
            <v>-</v>
          </cell>
          <cell r="H24" t="str">
            <v>-</v>
          </cell>
          <cell r="I24" t="str">
            <v>-</v>
          </cell>
          <cell r="J24" t="str">
            <v>Imprimé</v>
          </cell>
          <cell r="K24" t="str">
            <v>Brossage béton frais</v>
          </cell>
          <cell r="L24" t="str">
            <v>Brossage béton frais</v>
          </cell>
          <cell r="N24" t="str">
            <v>Brossage béton frais</v>
          </cell>
          <cell r="O24" t="str">
            <v>Avec CV</v>
          </cell>
          <cell r="P24" t="str">
            <v>Beton Pompe et dalle normale</v>
          </cell>
          <cell r="Q24"/>
          <cell r="R24" t="str">
            <v>40N/mm² 36h</v>
          </cell>
          <cell r="T24"/>
          <cell r="U24" t="str">
            <v>Ponçage</v>
          </cell>
          <cell r="V24" t="str">
            <v>Pas de poussier</v>
          </cell>
          <cell r="W24" t="str">
            <v>Pas de poussier</v>
          </cell>
          <cell r="X24" t="str">
            <v>Produit désactivé</v>
          </cell>
          <cell r="Y24" t="str">
            <v>-</v>
          </cell>
          <cell r="Z24" t="str">
            <v>-</v>
          </cell>
          <cell r="AA24" t="str">
            <v>-</v>
          </cell>
          <cell r="AB24"/>
          <cell r="AC24"/>
          <cell r="AD24"/>
          <cell r="AE24"/>
          <cell r="AF24"/>
          <cell r="AG24"/>
          <cell r="AH24"/>
          <cell r="AI24"/>
          <cell r="AJ24"/>
          <cell r="AK24"/>
          <cell r="AL24"/>
          <cell r="AM24"/>
          <cell r="AN24"/>
          <cell r="AO24"/>
          <cell r="AP24"/>
          <cell r="AQ24"/>
          <cell r="AR24"/>
        </row>
        <row r="25">
          <cell r="C25" t="str">
            <v>≤C16/20</v>
          </cell>
          <cell r="D25" t="str">
            <v>?Compo Benne</v>
          </cell>
          <cell r="E25" t="str">
            <v>C20/25 et C25/30</v>
          </cell>
          <cell r="F25" t="str">
            <v>≥C25/30</v>
          </cell>
          <cell r="G25" t="str">
            <v>≥C25/30</v>
          </cell>
          <cell r="H25" t="str">
            <v>≥C16/20</v>
          </cell>
          <cell r="I25" t="str">
            <v>?C30/37</v>
          </cell>
          <cell r="J25" t="str">
            <v>?C35/45</v>
          </cell>
          <cell r="K25" t="str">
            <v>Meilleurs extrusion et maintien du bord</v>
          </cell>
          <cell r="L25" t="str">
            <v>Meilleurs extrusion et maintien du bord</v>
          </cell>
          <cell r="M25" t="str">
            <v>Page 45</v>
          </cell>
          <cell r="N25"/>
          <cell r="O25"/>
          <cell r="P25" t="str">
            <v>Pompe et Dalle</v>
          </cell>
          <cell r="Q25"/>
          <cell r="R25" t="str">
            <v>HIGH RESISTANCE TO SHORT-TERM</v>
          </cell>
          <cell r="S25" t="str">
            <v>Page 45</v>
          </cell>
          <cell r="T25" t="str">
            <v>PORPHYRE 20mm</v>
          </cell>
          <cell r="U25" t="str">
            <v>Granite</v>
          </cell>
          <cell r="V25" t="str">
            <v>Lomel</v>
          </cell>
          <cell r="W25" t="str">
            <v xml:space="preserve">Pas de poussier </v>
          </cell>
          <cell r="X25" t="str">
            <v>Squelette +/- 600kg Sable</v>
          </cell>
          <cell r="Y25" t="str">
            <v>?C30/37</v>
          </cell>
          <cell r="Z25" t="str">
            <v>25/30</v>
          </cell>
          <cell r="AA25" t="str">
            <v>? 25/30</v>
          </cell>
          <cell r="AB25" t="str">
            <v>PORPHYRE 14mm</v>
          </cell>
          <cell r="AC25"/>
          <cell r="AD25"/>
          <cell r="AE25"/>
          <cell r="AF25"/>
          <cell r="AG25"/>
          <cell r="AH25"/>
          <cell r="AI25"/>
          <cell r="AJ25"/>
          <cell r="AK25"/>
          <cell r="AL25"/>
          <cell r="AM25"/>
          <cell r="AN25"/>
          <cell r="AO25"/>
          <cell r="AP25"/>
          <cell r="AQ25"/>
          <cell r="AR25"/>
        </row>
        <row r="26">
          <cell r="C26">
            <v>150</v>
          </cell>
          <cell r="D26">
            <v>170</v>
          </cell>
          <cell r="E26">
            <v>210</v>
          </cell>
          <cell r="F26">
            <v>210</v>
          </cell>
          <cell r="G26">
            <v>210</v>
          </cell>
          <cell r="H26">
            <v>190</v>
          </cell>
          <cell r="I26">
            <v>190</v>
          </cell>
          <cell r="J26">
            <v>195</v>
          </cell>
          <cell r="K26" t="str">
            <v>page 36</v>
          </cell>
          <cell r="L26" t="str">
            <v>page 36</v>
          </cell>
          <cell r="M26">
            <v>165</v>
          </cell>
          <cell r="N26" t="str">
            <v>Page 39</v>
          </cell>
          <cell r="O26">
            <v>210</v>
          </cell>
          <cell r="P26">
            <v>200</v>
          </cell>
          <cell r="Q26"/>
          <cell r="R26">
            <v>220</v>
          </cell>
          <cell r="S26">
            <v>165</v>
          </cell>
          <cell r="T26">
            <v>205</v>
          </cell>
          <cell r="U26">
            <v>200</v>
          </cell>
          <cell r="V26">
            <v>210</v>
          </cell>
          <cell r="W26">
            <v>210</v>
          </cell>
          <cell r="X26">
            <v>170</v>
          </cell>
          <cell r="Y26">
            <v>193</v>
          </cell>
          <cell r="Z26">
            <v>200</v>
          </cell>
          <cell r="AA26">
            <v>200</v>
          </cell>
          <cell r="AB26">
            <v>210</v>
          </cell>
          <cell r="AC26"/>
          <cell r="AD26"/>
          <cell r="AE26"/>
          <cell r="AF26"/>
          <cell r="AG26"/>
          <cell r="AH26"/>
          <cell r="AI26"/>
          <cell r="AJ26"/>
          <cell r="AK26"/>
          <cell r="AL26"/>
          <cell r="AM26"/>
          <cell r="AN26"/>
          <cell r="AO26"/>
          <cell r="AP26"/>
          <cell r="AQ26"/>
          <cell r="AR26"/>
        </row>
        <row r="28">
          <cell r="C28">
            <v>0.22</v>
          </cell>
          <cell r="D28">
            <v>0</v>
          </cell>
          <cell r="E28">
            <v>0.2</v>
          </cell>
          <cell r="F28">
            <v>0</v>
          </cell>
          <cell r="G28">
            <v>0.18</v>
          </cell>
          <cell r="H28">
            <v>0.18</v>
          </cell>
          <cell r="I28">
            <v>0.18</v>
          </cell>
          <cell r="J28">
            <v>0</v>
          </cell>
          <cell r="K28"/>
          <cell r="L28"/>
          <cell r="M28">
            <v>0.125</v>
          </cell>
          <cell r="N28">
            <v>0</v>
          </cell>
          <cell r="O28">
            <v>0.22</v>
          </cell>
          <cell r="P28">
            <v>0.1</v>
          </cell>
          <cell r="Q28"/>
          <cell r="R28">
            <v>0</v>
          </cell>
          <cell r="S28">
            <v>0.11</v>
          </cell>
          <cell r="T28">
            <v>0</v>
          </cell>
          <cell r="U28">
            <v>0</v>
          </cell>
          <cell r="V28">
            <v>0.215</v>
          </cell>
          <cell r="W28">
            <v>0</v>
          </cell>
          <cell r="X28">
            <v>0</v>
          </cell>
          <cell r="Z28">
            <v>0</v>
          </cell>
          <cell r="AA28">
            <v>0.06</v>
          </cell>
          <cell r="AB28">
            <v>0.08</v>
          </cell>
          <cell r="AC28"/>
          <cell r="AD28"/>
          <cell r="AE28"/>
          <cell r="AF28"/>
          <cell r="AG28"/>
          <cell r="AH28"/>
          <cell r="AI28"/>
          <cell r="AJ28"/>
          <cell r="AK28"/>
          <cell r="AL28"/>
          <cell r="AM28"/>
          <cell r="AN28"/>
          <cell r="AO28"/>
          <cell r="AP28"/>
          <cell r="AQ28"/>
          <cell r="AR28"/>
        </row>
        <row r="29">
          <cell r="C29">
            <v>0.23</v>
          </cell>
          <cell r="D29">
            <v>0.39</v>
          </cell>
          <cell r="E29">
            <v>0.23</v>
          </cell>
          <cell r="F29">
            <v>0.46</v>
          </cell>
          <cell r="G29">
            <v>0.28000000000000003</v>
          </cell>
          <cell r="H29">
            <v>0.27</v>
          </cell>
          <cell r="I29">
            <v>0.27</v>
          </cell>
          <cell r="J29">
            <v>0.46</v>
          </cell>
          <cell r="K29"/>
          <cell r="L29"/>
          <cell r="M29">
            <v>0.35</v>
          </cell>
          <cell r="N29">
            <v>0.45</v>
          </cell>
          <cell r="O29">
            <v>0.23</v>
          </cell>
          <cell r="P29">
            <v>0.34</v>
          </cell>
          <cell r="Q29"/>
          <cell r="R29">
            <v>0.43</v>
          </cell>
          <cell r="S29">
            <v>0.34</v>
          </cell>
          <cell r="T29">
            <v>0.44</v>
          </cell>
          <cell r="U29">
            <v>0.36199999999999999</v>
          </cell>
          <cell r="V29">
            <v>0.26500000000000001</v>
          </cell>
          <cell r="W29">
            <v>0.48</v>
          </cell>
          <cell r="X29">
            <v>0.38</v>
          </cell>
          <cell r="Y29">
            <v>0.45</v>
          </cell>
          <cell r="Z29">
            <v>0.45</v>
          </cell>
          <cell r="AA29">
            <v>0.4</v>
          </cell>
          <cell r="AB29">
            <v>0.34</v>
          </cell>
          <cell r="AC29"/>
          <cell r="AD29"/>
          <cell r="AE29"/>
          <cell r="AF29"/>
          <cell r="AG29"/>
          <cell r="AH29"/>
          <cell r="AI29"/>
          <cell r="AJ29"/>
          <cell r="AK29"/>
          <cell r="AL29"/>
          <cell r="AM29"/>
          <cell r="AN29"/>
          <cell r="AO29"/>
          <cell r="AP29"/>
          <cell r="AQ29"/>
          <cell r="AR29"/>
        </row>
        <row r="30">
          <cell r="C30">
            <v>0.13</v>
          </cell>
          <cell r="D30">
            <v>0.13</v>
          </cell>
          <cell r="E30">
            <v>0.16</v>
          </cell>
          <cell r="F30">
            <v>0.14499999999999999</v>
          </cell>
          <cell r="G30">
            <v>0.158</v>
          </cell>
          <cell r="H30">
            <v>0.15</v>
          </cell>
          <cell r="I30">
            <v>0.185</v>
          </cell>
          <cell r="J30">
            <v>0.12</v>
          </cell>
          <cell r="K30"/>
          <cell r="L30"/>
          <cell r="M30">
            <v>0.125</v>
          </cell>
          <cell r="N30">
            <v>0.15</v>
          </cell>
          <cell r="O30">
            <v>0.15</v>
          </cell>
          <cell r="P30">
            <v>0.15</v>
          </cell>
          <cell r="Q30"/>
          <cell r="R30">
            <v>0.15</v>
          </cell>
          <cell r="S30">
            <v>0.15</v>
          </cell>
          <cell r="T30">
            <v>0.15</v>
          </cell>
          <cell r="U30">
            <v>0.17499999999999999</v>
          </cell>
          <cell r="V30">
            <v>0.51500000000000001</v>
          </cell>
          <cell r="W30">
            <v>0.52</v>
          </cell>
          <cell r="X30">
            <v>0.19</v>
          </cell>
          <cell r="Y30">
            <v>0.185</v>
          </cell>
          <cell r="Z30">
            <v>0.185</v>
          </cell>
          <cell r="AA30">
            <v>0.18</v>
          </cell>
          <cell r="AB30">
            <v>0.2</v>
          </cell>
          <cell r="AC30"/>
          <cell r="AD30"/>
          <cell r="AE30"/>
          <cell r="AF30"/>
          <cell r="AG30"/>
          <cell r="AH30"/>
          <cell r="AI30"/>
          <cell r="AJ30"/>
          <cell r="AK30"/>
          <cell r="AL30"/>
          <cell r="AM30"/>
          <cell r="AN30"/>
          <cell r="AO30"/>
          <cell r="AP30"/>
          <cell r="AQ30"/>
          <cell r="AR30"/>
        </row>
        <row r="31">
          <cell r="C31">
            <v>0.41</v>
          </cell>
          <cell r="D31">
            <v>0.47</v>
          </cell>
          <cell r="E31">
            <v>0.41</v>
          </cell>
          <cell r="F31">
            <v>0.39</v>
          </cell>
          <cell r="G31">
            <v>0.38500000000000001</v>
          </cell>
          <cell r="H31">
            <v>0.4</v>
          </cell>
          <cell r="I31">
            <v>0.36499999999999999</v>
          </cell>
          <cell r="J31">
            <v>0.42</v>
          </cell>
          <cell r="K31"/>
          <cell r="L31"/>
          <cell r="M31">
            <v>0.4</v>
          </cell>
          <cell r="N31">
            <v>0.4</v>
          </cell>
          <cell r="O31">
            <v>0.4</v>
          </cell>
          <cell r="P31">
            <v>0.41</v>
          </cell>
          <cell r="Q31"/>
          <cell r="R31">
            <v>0.42</v>
          </cell>
          <cell r="S31">
            <v>0.4</v>
          </cell>
          <cell r="T31">
            <v>0.41</v>
          </cell>
          <cell r="U31">
            <v>0.46300000000000002</v>
          </cell>
          <cell r="X31">
            <v>0.43</v>
          </cell>
          <cell r="Y31">
            <v>0.36499999999999999</v>
          </cell>
          <cell r="Z31">
            <v>0.36499999999999999</v>
          </cell>
          <cell r="AA31">
            <v>0.36</v>
          </cell>
          <cell r="AB31">
            <v>0.38</v>
          </cell>
          <cell r="AC31"/>
          <cell r="AD31"/>
          <cell r="AE31"/>
          <cell r="AF31"/>
          <cell r="AG31"/>
          <cell r="AH31"/>
          <cell r="AI31"/>
          <cell r="AJ31"/>
          <cell r="AK31"/>
          <cell r="AL31"/>
          <cell r="AM31"/>
          <cell r="AN31"/>
          <cell r="AO31"/>
          <cell r="AP31"/>
          <cell r="AQ31"/>
          <cell r="AR31"/>
        </row>
        <row r="32">
          <cell r="K32"/>
          <cell r="L32"/>
          <cell r="N32"/>
          <cell r="O32"/>
          <cell r="Q32"/>
          <cell r="T32"/>
          <cell r="U32"/>
          <cell r="X32"/>
          <cell r="Z32"/>
          <cell r="AB32"/>
          <cell r="AC32"/>
          <cell r="AD32"/>
          <cell r="AE32"/>
          <cell r="AF32"/>
          <cell r="AG32"/>
          <cell r="AH32"/>
          <cell r="AI32"/>
          <cell r="AJ32"/>
          <cell r="AK32"/>
          <cell r="AL32"/>
          <cell r="AM32"/>
          <cell r="AN32"/>
          <cell r="AO32"/>
          <cell r="AP32"/>
          <cell r="AQ32"/>
          <cell r="AR32"/>
        </row>
        <row r="33">
          <cell r="K33"/>
          <cell r="L33"/>
          <cell r="N33"/>
          <cell r="O33"/>
          <cell r="P33"/>
          <cell r="Q33"/>
          <cell r="R33"/>
          <cell r="T33"/>
          <cell r="U33"/>
          <cell r="X33"/>
          <cell r="Z33"/>
          <cell r="AB33"/>
          <cell r="AC33"/>
          <cell r="AD33"/>
          <cell r="AE33"/>
          <cell r="AF33"/>
          <cell r="AG33"/>
          <cell r="AH33"/>
          <cell r="AI33"/>
          <cell r="AJ33"/>
          <cell r="AK33"/>
          <cell r="AL33"/>
          <cell r="AM33"/>
          <cell r="AN33"/>
          <cell r="AO33"/>
          <cell r="AP33"/>
          <cell r="AQ33"/>
          <cell r="AR33"/>
        </row>
        <row r="34">
          <cell r="C34"/>
          <cell r="E34"/>
          <cell r="G34"/>
          <cell r="K34"/>
          <cell r="L34"/>
          <cell r="N34"/>
          <cell r="O34"/>
          <cell r="P34"/>
          <cell r="Q34"/>
          <cell r="R34"/>
          <cell r="T34"/>
          <cell r="U34"/>
          <cell r="X34"/>
          <cell r="Z34"/>
          <cell r="AB34"/>
          <cell r="AC34"/>
          <cell r="AD34"/>
          <cell r="AE34"/>
          <cell r="AF34"/>
          <cell r="AG34"/>
          <cell r="AH34"/>
          <cell r="AI34"/>
          <cell r="AJ34"/>
          <cell r="AK34"/>
          <cell r="AL34"/>
          <cell r="AM34"/>
          <cell r="AN34"/>
          <cell r="AO34"/>
          <cell r="AP34"/>
          <cell r="AQ34"/>
          <cell r="AR34"/>
        </row>
        <row r="35">
          <cell r="C35"/>
          <cell r="E35"/>
          <cell r="G35"/>
          <cell r="K35"/>
          <cell r="L35"/>
          <cell r="N35"/>
          <cell r="O35"/>
          <cell r="P35"/>
          <cell r="Q35"/>
          <cell r="R35"/>
          <cell r="T35"/>
          <cell r="U35"/>
          <cell r="X35"/>
          <cell r="Z35"/>
          <cell r="AB35"/>
          <cell r="AC35"/>
          <cell r="AD35"/>
          <cell r="AE35"/>
          <cell r="AF35"/>
          <cell r="AG35"/>
          <cell r="AH35"/>
          <cell r="AI35"/>
          <cell r="AJ35"/>
          <cell r="AK35"/>
          <cell r="AL35"/>
          <cell r="AM35"/>
          <cell r="AN35"/>
          <cell r="AO35"/>
          <cell r="AP35"/>
          <cell r="AQ35"/>
          <cell r="AR35"/>
        </row>
        <row r="36">
          <cell r="C36"/>
          <cell r="E36"/>
          <cell r="G36"/>
          <cell r="H36"/>
          <cell r="K36"/>
          <cell r="L36"/>
          <cell r="N36"/>
          <cell r="O36"/>
          <cell r="P36"/>
          <cell r="Q36"/>
          <cell r="R36"/>
          <cell r="T36"/>
          <cell r="U36"/>
          <cell r="X36"/>
          <cell r="Z36"/>
          <cell r="AB36"/>
          <cell r="AC36"/>
          <cell r="AD36"/>
          <cell r="AE36"/>
          <cell r="AF36"/>
          <cell r="AG36"/>
          <cell r="AH36"/>
          <cell r="AI36"/>
          <cell r="AJ36"/>
          <cell r="AK36"/>
          <cell r="AL36"/>
          <cell r="AM36"/>
          <cell r="AN36"/>
          <cell r="AO36"/>
          <cell r="AP36"/>
          <cell r="AQ36"/>
          <cell r="AR36"/>
        </row>
        <row r="37">
          <cell r="C37"/>
          <cell r="E37"/>
          <cell r="G37"/>
          <cell r="H37"/>
          <cell r="K37"/>
          <cell r="L37"/>
          <cell r="N37"/>
          <cell r="O37"/>
          <cell r="P37"/>
          <cell r="Q37"/>
          <cell r="R37"/>
          <cell r="T37"/>
          <cell r="U37"/>
          <cell r="X37"/>
          <cell r="Z37"/>
          <cell r="AB37"/>
          <cell r="AC37"/>
          <cell r="AD37"/>
          <cell r="AE37"/>
          <cell r="AF37"/>
          <cell r="AG37"/>
          <cell r="AH37"/>
          <cell r="AI37"/>
          <cell r="AJ37"/>
          <cell r="AK37"/>
          <cell r="AL37"/>
          <cell r="AM37"/>
          <cell r="AN37"/>
          <cell r="AO37"/>
          <cell r="AP37"/>
          <cell r="AQ37"/>
          <cell r="AR37"/>
        </row>
        <row r="38">
          <cell r="C38"/>
          <cell r="E38"/>
          <cell r="G38"/>
          <cell r="H38"/>
          <cell r="K38"/>
          <cell r="L38"/>
          <cell r="N38"/>
          <cell r="O38"/>
          <cell r="P38"/>
          <cell r="Q38"/>
          <cell r="R38"/>
          <cell r="T38"/>
          <cell r="U38"/>
          <cell r="X38"/>
          <cell r="Z38"/>
          <cell r="AB38"/>
          <cell r="AC38"/>
          <cell r="AD38"/>
          <cell r="AE38"/>
          <cell r="AF38"/>
          <cell r="AG38"/>
          <cell r="AH38"/>
          <cell r="AI38"/>
          <cell r="AJ38"/>
          <cell r="AK38"/>
          <cell r="AL38"/>
          <cell r="AM38"/>
          <cell r="AN38"/>
          <cell r="AO38"/>
          <cell r="AP38"/>
          <cell r="AQ38"/>
          <cell r="AR38"/>
        </row>
        <row r="39">
          <cell r="C39"/>
          <cell r="E39"/>
          <cell r="G39"/>
          <cell r="H39"/>
          <cell r="K39"/>
          <cell r="L39"/>
          <cell r="N39"/>
          <cell r="O39"/>
          <cell r="P39"/>
          <cell r="Q39"/>
          <cell r="R39"/>
          <cell r="T39"/>
          <cell r="U39"/>
          <cell r="X39"/>
          <cell r="Z39"/>
          <cell r="AB39"/>
          <cell r="AC39"/>
          <cell r="AD39"/>
          <cell r="AE39"/>
          <cell r="AF39"/>
          <cell r="AG39"/>
          <cell r="AH39"/>
          <cell r="AI39"/>
          <cell r="AJ39"/>
          <cell r="AK39"/>
          <cell r="AL39"/>
          <cell r="AM39"/>
          <cell r="AN39"/>
          <cell r="AO39"/>
          <cell r="AP39"/>
          <cell r="AQ39"/>
          <cell r="AR39"/>
        </row>
        <row r="40">
          <cell r="C40"/>
          <cell r="E40"/>
          <cell r="G40"/>
          <cell r="H40"/>
          <cell r="K40"/>
          <cell r="L40"/>
          <cell r="N40"/>
          <cell r="O40"/>
          <cell r="P40"/>
          <cell r="Q40"/>
          <cell r="R40"/>
          <cell r="T40"/>
          <cell r="U40"/>
          <cell r="X40"/>
          <cell r="Y40"/>
          <cell r="Z40"/>
          <cell r="AB40"/>
          <cell r="AC40"/>
          <cell r="AD40"/>
          <cell r="AE40"/>
          <cell r="AF40"/>
          <cell r="AG40"/>
          <cell r="AH40"/>
          <cell r="AI40"/>
          <cell r="AJ40"/>
          <cell r="AK40"/>
          <cell r="AL40"/>
          <cell r="AM40"/>
          <cell r="AN40"/>
          <cell r="AO40"/>
          <cell r="AP40"/>
          <cell r="AQ40"/>
          <cell r="AR40"/>
        </row>
        <row r="41">
          <cell r="C41"/>
          <cell r="E41"/>
          <cell r="G41"/>
          <cell r="H41"/>
          <cell r="K41"/>
          <cell r="L41"/>
          <cell r="N41"/>
          <cell r="O41"/>
          <cell r="P41"/>
          <cell r="Q41"/>
          <cell r="R41"/>
          <cell r="T41"/>
          <cell r="U41"/>
          <cell r="X41"/>
          <cell r="Y41"/>
          <cell r="Z41"/>
          <cell r="AB41"/>
          <cell r="AC41"/>
          <cell r="AD41"/>
          <cell r="AE41"/>
          <cell r="AF41"/>
          <cell r="AG41"/>
          <cell r="AH41"/>
          <cell r="AI41"/>
          <cell r="AJ41"/>
          <cell r="AK41"/>
          <cell r="AL41"/>
          <cell r="AM41"/>
          <cell r="AN41"/>
          <cell r="AO41"/>
          <cell r="AP41"/>
          <cell r="AQ41"/>
          <cell r="AR41"/>
        </row>
        <row r="42">
          <cell r="C42"/>
          <cell r="E42"/>
          <cell r="G42"/>
          <cell r="H42">
            <v>1</v>
          </cell>
          <cell r="K42"/>
          <cell r="L42"/>
          <cell r="S42"/>
          <cell r="T42"/>
          <cell r="X42"/>
          <cell r="Y42"/>
          <cell r="Z42"/>
          <cell r="AB42"/>
          <cell r="AC42"/>
          <cell r="AD42"/>
          <cell r="AE42"/>
          <cell r="AF42"/>
          <cell r="AG42"/>
          <cell r="AH42"/>
          <cell r="AI42"/>
          <cell r="AJ42"/>
          <cell r="AK42"/>
          <cell r="AL42"/>
          <cell r="AM42"/>
          <cell r="AN42"/>
          <cell r="AO42"/>
          <cell r="AP42"/>
          <cell r="AQ42"/>
          <cell r="AR42"/>
        </row>
      </sheetData>
      <sheetData sheetId="1">
        <row r="36">
          <cell r="X36" t="str">
            <v>CV OUI</v>
          </cell>
          <cell r="Z36" t="str">
            <v xml:space="preserve">Labo </v>
          </cell>
        </row>
        <row r="37">
          <cell r="X37" t="str">
            <v>CV NON</v>
          </cell>
          <cell r="Z37" t="str">
            <v>Bon</v>
          </cell>
        </row>
        <row r="41">
          <cell r="X41" t="str">
            <v>4/8 versus 8/20</v>
          </cell>
        </row>
        <row r="42">
          <cell r="X42" t="str">
            <v>4/8 versus 8/14</v>
          </cell>
        </row>
        <row r="43">
          <cell r="X43" t="str">
            <v>4/8 versus 4/8</v>
          </cell>
        </row>
        <row r="132">
          <cell r="AB132" t="str">
            <v>01 Lomel</v>
          </cell>
          <cell r="AC132">
            <v>0</v>
          </cell>
        </row>
        <row r="133">
          <cell r="AB133" t="str">
            <v>Buir 0/3</v>
          </cell>
          <cell r="AC133">
            <v>0.46</v>
          </cell>
        </row>
        <row r="134">
          <cell r="AB134" t="str">
            <v>2/6,3-CAL</v>
          </cell>
          <cell r="AC134">
            <v>0.12</v>
          </cell>
        </row>
        <row r="135">
          <cell r="AB135" t="str">
            <v>6/14-CAL</v>
          </cell>
          <cell r="AC135">
            <v>0.42</v>
          </cell>
        </row>
        <row r="136">
          <cell r="AB136" t="str">
            <v>AAAA</v>
          </cell>
          <cell r="AC136">
            <v>0</v>
          </cell>
        </row>
        <row r="137">
          <cell r="AB137" t="str">
            <v>AAAA</v>
          </cell>
          <cell r="AC137">
            <v>0</v>
          </cell>
        </row>
        <row r="138">
          <cell r="AB138" t="str">
            <v>AAAA</v>
          </cell>
          <cell r="AC138">
            <v>0</v>
          </cell>
        </row>
        <row r="139">
          <cell r="AB139" t="str">
            <v>AAA</v>
          </cell>
          <cell r="AC139">
            <v>0</v>
          </cell>
        </row>
        <row r="140">
          <cell r="AB140" t="str">
            <v>AAA</v>
          </cell>
          <cell r="AC140">
            <v>0</v>
          </cell>
        </row>
        <row r="141">
          <cell r="AB141" t="str">
            <v>AAA</v>
          </cell>
          <cell r="AC141">
            <v>0</v>
          </cell>
        </row>
        <row r="142">
          <cell r="AB142" t="str">
            <v>AAA</v>
          </cell>
          <cell r="AC142">
            <v>0</v>
          </cell>
        </row>
        <row r="143">
          <cell r="AB143" t="str">
            <v>AAA</v>
          </cell>
          <cell r="AC143">
            <v>0</v>
          </cell>
        </row>
        <row r="144">
          <cell r="AB144" t="str">
            <v>AAA</v>
          </cell>
          <cell r="AC144">
            <v>0</v>
          </cell>
        </row>
        <row r="145">
          <cell r="AB145" t="str">
            <v>AAA</v>
          </cell>
          <cell r="AC145">
            <v>0</v>
          </cell>
        </row>
        <row r="146">
          <cell r="AB146" t="str">
            <v>AAA</v>
          </cell>
          <cell r="AC146">
            <v>0</v>
          </cell>
        </row>
      </sheetData>
      <sheetData sheetId="2">
        <row r="9">
          <cell r="Z9" t="str">
            <v>CEM I 32.5</v>
          </cell>
        </row>
        <row r="10">
          <cell r="Z10" t="str">
            <v>CEM I 42.5</v>
          </cell>
        </row>
        <row r="11">
          <cell r="Z11" t="str">
            <v>CEM I 52.5</v>
          </cell>
        </row>
        <row r="12">
          <cell r="Z12" t="str">
            <v>CEM III A</v>
          </cell>
        </row>
        <row r="13">
          <cell r="Z13" t="str">
            <v>CEM III B</v>
          </cell>
        </row>
        <row r="14">
          <cell r="Z14" t="str">
            <v xml:space="preserve">humide </v>
          </cell>
        </row>
        <row r="15">
          <cell r="Z15" t="str">
            <v>sec</v>
          </cell>
        </row>
        <row r="16">
          <cell r="Z16" t="str">
            <v>OUI</v>
          </cell>
        </row>
        <row r="17">
          <cell r="Z17" t="str">
            <v>NON</v>
          </cell>
        </row>
        <row r="19">
          <cell r="Z19" t="str">
            <v>ms</v>
          </cell>
        </row>
        <row r="20">
          <cell r="Z20" t="str">
            <v>mh</v>
          </cell>
        </row>
      </sheetData>
      <sheetData sheetId="3">
        <row r="10">
          <cell r="C10">
            <v>8</v>
          </cell>
        </row>
        <row r="11">
          <cell r="C11">
            <v>8.01</v>
          </cell>
        </row>
        <row r="12">
          <cell r="C12">
            <v>3.375</v>
          </cell>
        </row>
      </sheetData>
      <sheetData sheetId="4"/>
      <sheetData sheetId="5">
        <row r="1">
          <cell r="R1" t="str">
            <v>OUI</v>
          </cell>
        </row>
        <row r="2">
          <cell r="R2" t="str">
            <v>NON</v>
          </cell>
        </row>
        <row r="3">
          <cell r="B3" t="str">
            <v>ViscoFlow</v>
          </cell>
          <cell r="C3">
            <v>2420</v>
          </cell>
          <cell r="D3" t="str">
            <v>VC 1020x</v>
          </cell>
          <cell r="E3" t="str">
            <v>LPSA94</v>
          </cell>
          <cell r="F3" t="str">
            <v>BV3M</v>
          </cell>
          <cell r="G3" t="str">
            <v>RIEN</v>
          </cell>
          <cell r="H3">
            <v>7</v>
          </cell>
          <cell r="I3">
            <v>8</v>
          </cell>
          <cell r="J3">
            <v>9</v>
          </cell>
          <cell r="K3">
            <v>10</v>
          </cell>
          <cell r="L3">
            <v>11</v>
          </cell>
          <cell r="M3">
            <v>12</v>
          </cell>
          <cell r="N3">
            <v>13</v>
          </cell>
          <cell r="O3">
            <v>14</v>
          </cell>
          <cell r="P3">
            <v>15</v>
          </cell>
        </row>
        <row r="4">
          <cell r="B4">
            <v>1.04</v>
          </cell>
          <cell r="C4">
            <v>1.02</v>
          </cell>
          <cell r="D4">
            <v>1.04</v>
          </cell>
          <cell r="E4">
            <v>1</v>
          </cell>
          <cell r="F4">
            <v>1.1399999999999999</v>
          </cell>
          <cell r="G4">
            <v>1E-4</v>
          </cell>
        </row>
        <row r="5">
          <cell r="B5">
            <v>0.9</v>
          </cell>
          <cell r="C5">
            <v>0.65</v>
          </cell>
          <cell r="D5">
            <v>1.1000000000000001</v>
          </cell>
          <cell r="E5">
            <v>0.72</v>
          </cell>
          <cell r="F5">
            <v>0.45</v>
          </cell>
          <cell r="G5">
            <v>0</v>
          </cell>
        </row>
        <row r="6">
          <cell r="B6">
            <v>0.5</v>
          </cell>
          <cell r="C6">
            <v>0.6</v>
          </cell>
          <cell r="D6">
            <v>1</v>
          </cell>
          <cell r="E6">
            <v>0.5</v>
          </cell>
          <cell r="F6">
            <v>0.5</v>
          </cell>
          <cell r="G6">
            <v>0</v>
          </cell>
        </row>
        <row r="7">
          <cell r="B7">
            <v>0.1</v>
          </cell>
          <cell r="C7">
            <v>0.1</v>
          </cell>
          <cell r="D7">
            <v>0.1</v>
          </cell>
          <cell r="E7">
            <v>0.1</v>
          </cell>
          <cell r="F7">
            <v>0.1</v>
          </cell>
          <cell r="G7">
            <v>0</v>
          </cell>
        </row>
        <row r="8">
          <cell r="B8">
            <v>20</v>
          </cell>
          <cell r="C8">
            <v>10.3</v>
          </cell>
          <cell r="D8">
            <v>20</v>
          </cell>
          <cell r="E8">
            <v>2</v>
          </cell>
          <cell r="F8">
            <v>27</v>
          </cell>
          <cell r="G8">
            <v>0</v>
          </cell>
        </row>
        <row r="9">
          <cell r="C9">
            <v>50</v>
          </cell>
          <cell r="D9">
            <v>220</v>
          </cell>
          <cell r="E9">
            <v>14</v>
          </cell>
          <cell r="F9">
            <v>25</v>
          </cell>
          <cell r="G9">
            <v>100000000000</v>
          </cell>
        </row>
        <row r="10">
          <cell r="B10">
            <v>23</v>
          </cell>
        </row>
      </sheetData>
      <sheetData sheetId="6"/>
      <sheetData sheetId="7">
        <row r="3">
          <cell r="C3" t="str">
            <v>CEM III A</v>
          </cell>
          <cell r="D3" t="str">
            <v>CEM III B</v>
          </cell>
          <cell r="E3" t="str">
            <v>CEM I 52.5</v>
          </cell>
          <cell r="F3" t="str">
            <v>CEM I 42.5</v>
          </cell>
          <cell r="G3" t="str">
            <v>CV</v>
          </cell>
          <cell r="H3" t="str">
            <v>SPENER HK</v>
          </cell>
          <cell r="I3" t="str">
            <v>SPENER HL</v>
          </cell>
          <cell r="J3" t="str">
            <v>RIEN</v>
          </cell>
        </row>
        <row r="4">
          <cell r="C4">
            <v>3.01</v>
          </cell>
          <cell r="D4">
            <v>2.97</v>
          </cell>
          <cell r="E4">
            <v>3.1</v>
          </cell>
          <cell r="F4">
            <v>3.1</v>
          </cell>
          <cell r="G4">
            <v>3</v>
          </cell>
          <cell r="H4">
            <v>3</v>
          </cell>
          <cell r="I4">
            <v>2.95</v>
          </cell>
          <cell r="J4">
            <v>1E-3</v>
          </cell>
        </row>
        <row r="5">
          <cell r="C5">
            <v>71</v>
          </cell>
          <cell r="D5">
            <v>85.4</v>
          </cell>
          <cell r="E5">
            <v>85</v>
          </cell>
          <cell r="F5">
            <v>100.1</v>
          </cell>
          <cell r="G5">
            <v>33.5</v>
          </cell>
          <cell r="H5">
            <v>65.25</v>
          </cell>
          <cell r="I5">
            <v>63.25</v>
          </cell>
          <cell r="J5">
            <v>1E-3</v>
          </cell>
        </row>
        <row r="6">
          <cell r="C6">
            <v>0.37</v>
          </cell>
          <cell r="D6">
            <v>0.35</v>
          </cell>
          <cell r="E6">
            <v>0.5</v>
          </cell>
          <cell r="F6">
            <v>0.85</v>
          </cell>
          <cell r="G6">
            <v>0.85</v>
          </cell>
          <cell r="H6">
            <v>0.73</v>
          </cell>
          <cell r="I6">
            <v>0.75</v>
          </cell>
          <cell r="J6">
            <v>1E-3</v>
          </cell>
        </row>
        <row r="7">
          <cell r="C7">
            <v>0.06</v>
          </cell>
          <cell r="D7">
            <v>0.06</v>
          </cell>
          <cell r="E7">
            <v>0.02</v>
          </cell>
          <cell r="F7">
            <v>7.0000000000000007E-2</v>
          </cell>
          <cell r="G7">
            <v>0.7</v>
          </cell>
          <cell r="H7">
            <v>0.06</v>
          </cell>
          <cell r="I7">
            <v>0.06</v>
          </cell>
          <cell r="J7">
            <v>1E-3</v>
          </cell>
        </row>
        <row r="8">
          <cell r="C8">
            <v>0.8</v>
          </cell>
          <cell r="D8">
            <v>0.8</v>
          </cell>
          <cell r="E8">
            <v>0.8</v>
          </cell>
          <cell r="F8">
            <v>0.8</v>
          </cell>
          <cell r="G8">
            <v>0</v>
          </cell>
          <cell r="H8">
            <v>0.8</v>
          </cell>
          <cell r="I8">
            <v>0.8</v>
          </cell>
          <cell r="J8">
            <v>0.8</v>
          </cell>
        </row>
        <row r="9">
          <cell r="C9">
            <v>25</v>
          </cell>
          <cell r="D9">
            <v>25</v>
          </cell>
          <cell r="E9">
            <v>20</v>
          </cell>
          <cell r="F9">
            <v>20</v>
          </cell>
          <cell r="G9">
            <v>0</v>
          </cell>
          <cell r="H9">
            <v>25</v>
          </cell>
          <cell r="I9">
            <v>30</v>
          </cell>
          <cell r="J9">
            <v>25</v>
          </cell>
        </row>
        <row r="10">
          <cell r="C10">
            <v>-45</v>
          </cell>
          <cell r="D10">
            <v>-45</v>
          </cell>
          <cell r="E10">
            <v>-45</v>
          </cell>
          <cell r="F10">
            <v>-45</v>
          </cell>
          <cell r="G10">
            <v>0</v>
          </cell>
          <cell r="H10">
            <v>-45</v>
          </cell>
          <cell r="I10">
            <v>-45</v>
          </cell>
          <cell r="J10">
            <v>-45</v>
          </cell>
        </row>
        <row r="11">
          <cell r="C11">
            <v>57</v>
          </cell>
          <cell r="D11">
            <v>57</v>
          </cell>
          <cell r="E11">
            <v>65</v>
          </cell>
          <cell r="F11">
            <v>65</v>
          </cell>
          <cell r="G11">
            <v>10</v>
          </cell>
          <cell r="H11">
            <v>55</v>
          </cell>
          <cell r="I11">
            <v>50</v>
          </cell>
          <cell r="J11">
            <v>1E-3</v>
          </cell>
        </row>
      </sheetData>
      <sheetData sheetId="8"/>
      <sheetData sheetId="9">
        <row r="3">
          <cell r="B3" t="str">
            <v>C15N</v>
          </cell>
        </row>
        <row r="4">
          <cell r="B4" t="str">
            <v>C14L</v>
          </cell>
          <cell r="J4" t="str">
            <v>Labo</v>
          </cell>
          <cell r="L4" t="str">
            <v>Sable fin</v>
          </cell>
          <cell r="O4" t="str">
            <v>porfier 8</v>
          </cell>
        </row>
        <row r="5">
          <cell r="B5" t="str">
            <v>CEM I 52,5</v>
          </cell>
          <cell r="J5" t="str">
            <v>Centrale</v>
          </cell>
          <cell r="L5" t="str">
            <v>Lomel</v>
          </cell>
          <cell r="O5" t="str">
            <v>porfier 16</v>
          </cell>
        </row>
        <row r="6">
          <cell r="B6" t="str">
            <v>C15R HLA</v>
          </cell>
          <cell r="L6" t="str">
            <v>Sable gros rond</v>
          </cell>
          <cell r="O6" t="str">
            <v>porfier 22</v>
          </cell>
        </row>
        <row r="7">
          <cell r="B7" t="str">
            <v>C15R LA</v>
          </cell>
          <cell r="L7" t="str">
            <v xml:space="preserve">Sable carrière </v>
          </cell>
          <cell r="O7" t="str">
            <v>porfier 32</v>
          </cell>
        </row>
        <row r="8">
          <cell r="B8" t="str">
            <v>CEMII/A 32,5</v>
          </cell>
          <cell r="L8" t="str">
            <v>grof carrièrezand D2,77</v>
          </cell>
          <cell r="O8" t="str">
            <v>Calcaire 8</v>
          </cell>
        </row>
        <row r="9">
          <cell r="B9" t="str">
            <v>CEMII/A</v>
          </cell>
          <cell r="L9" t="str">
            <v>grof zeezand</v>
          </cell>
          <cell r="O9" t="str">
            <v>Calcaire 16</v>
          </cell>
        </row>
        <row r="10">
          <cell r="B10" t="str">
            <v>C3B3HL</v>
          </cell>
          <cell r="L10" t="str">
            <v>grof zeezand Hanson</v>
          </cell>
          <cell r="O10" t="str">
            <v>Calcaire 22</v>
          </cell>
        </row>
        <row r="11">
          <cell r="B11" t="str">
            <v>CEMII/B</v>
          </cell>
          <cell r="L11" t="str">
            <v>zeezand 0/2,5 Hanson</v>
          </cell>
          <cell r="O11" t="str">
            <v>Calcaire32</v>
          </cell>
        </row>
        <row r="12">
          <cell r="B12" t="str">
            <v>Pas de CEM[2]</v>
          </cell>
          <cell r="O12" t="str">
            <v>4/ 8 (D2,77)</v>
          </cell>
        </row>
        <row r="13">
          <cell r="O13" t="str">
            <v>kalksteen 16 (D2,77)</v>
          </cell>
        </row>
        <row r="14">
          <cell r="K14" t="str">
            <v>visco-crete Flow 21</v>
          </cell>
          <cell r="O14" t="str">
            <v>6/ 20 (D2,77)</v>
          </cell>
        </row>
        <row r="15">
          <cell r="K15" t="str">
            <v>SIKA 2040</v>
          </cell>
          <cell r="O15" t="str">
            <v>kalksteen 32 (D2,77)</v>
          </cell>
        </row>
        <row r="16">
          <cell r="O16" t="str">
            <v>Grès 8</v>
          </cell>
        </row>
        <row r="17">
          <cell r="O17" t="str">
            <v>Grès 16</v>
          </cell>
        </row>
        <row r="18">
          <cell r="O18" t="str">
            <v>Grès 22</v>
          </cell>
        </row>
        <row r="19">
          <cell r="O19" t="str">
            <v>Grès 32</v>
          </cell>
        </row>
        <row r="20">
          <cell r="M20" t="str">
            <v>(l)</v>
          </cell>
          <cell r="O20" t="str">
            <v>Gravier 8</v>
          </cell>
        </row>
        <row r="21">
          <cell r="M21" t="str">
            <v>(kg)</v>
          </cell>
          <cell r="O21" t="str">
            <v>Gravier16</v>
          </cell>
        </row>
        <row r="22">
          <cell r="O22" t="str">
            <v>Gravier32</v>
          </cell>
        </row>
        <row r="23">
          <cell r="O23" t="str">
            <v>Granulats marins 8</v>
          </cell>
        </row>
        <row r="24">
          <cell r="O24" t="str">
            <v>Granulats marins16</v>
          </cell>
        </row>
        <row r="25">
          <cell r="O25" t="str">
            <v>Granulats marins 32</v>
          </cell>
        </row>
        <row r="26">
          <cell r="O26" t="str">
            <v>Granulats marins8 Hanson</v>
          </cell>
        </row>
        <row r="27">
          <cell r="O27" t="str">
            <v>Granulats marins 16 Hanson</v>
          </cell>
        </row>
        <row r="28">
          <cell r="O28" t="str">
            <v>Granulats marins32 Hanson</v>
          </cell>
        </row>
        <row r="29">
          <cell r="O29" t="str">
            <v>Bariet 25</v>
          </cell>
        </row>
        <row r="30">
          <cell r="O30" t="str">
            <v>Monoliet 32</v>
          </cell>
        </row>
        <row r="31">
          <cell r="O31" t="str">
            <v>Magnetiet 20</v>
          </cell>
        </row>
        <row r="32">
          <cell r="O32" t="str">
            <v>gebroken beton 0/20</v>
          </cell>
        </row>
        <row r="33">
          <cell r="O33" t="str">
            <v>gebroken beton 4/20</v>
          </cell>
        </row>
        <row r="43">
          <cell r="K43" t="str">
            <v>SIKA 2040</v>
          </cell>
        </row>
        <row r="44">
          <cell r="K44" t="str">
            <v>FM625</v>
          </cell>
        </row>
        <row r="45">
          <cell r="K45" t="str">
            <v>Easy 11</v>
          </cell>
        </row>
      </sheetData>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cement"/>
      <sheetName val="input vulstof"/>
      <sheetName val="input granulaat"/>
      <sheetName val="input hulpstof"/>
      <sheetName val="input andere"/>
      <sheetName val="granulometrie"/>
      <sheetName val="input granulometrie"/>
      <sheetName val="zeefanalyses"/>
      <sheetName val="dosering hulpstoffen"/>
      <sheetName val="detailoverzicht"/>
      <sheetName val="streefwaarde - richtwaarde"/>
      <sheetName val="mengselcatalogus"/>
      <sheetName val="TF TRA550"/>
      <sheetName val="alkalibalans"/>
      <sheetName val="opmerkingen"/>
      <sheetName val="wijzigingen"/>
      <sheetName val="prijscalculatie"/>
      <sheetName val="standaardmatrix"/>
      <sheetName val="persoonlijke matrix"/>
      <sheetName val="prijzen"/>
      <sheetName val="standaard prijslijst"/>
      <sheetName val="gepersonaliseerde prijslijst"/>
      <sheetName val="Offerte"/>
      <sheetName val="grondstoffenlijst"/>
      <sheetName val="prject_in"/>
      <sheetName val="Project"/>
      <sheetName val="Calculatie"/>
      <sheetName val="slakgehalte"/>
      <sheetName val="input diverse"/>
      <sheetName val="1"/>
      <sheetName val="Blad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3"/>
      <sheetName val="94"/>
      <sheetName val="95"/>
      <sheetName val="96"/>
      <sheetName val="97"/>
      <sheetName val="98"/>
      <sheetName val="99"/>
      <sheetName val="100"/>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120"/>
      <sheetName val="121"/>
      <sheetName val="122"/>
      <sheetName val="123"/>
      <sheetName val="124"/>
      <sheetName val="125"/>
      <sheetName val="126"/>
      <sheetName val="127"/>
      <sheetName val="128"/>
      <sheetName val="129"/>
      <sheetName val="130"/>
      <sheetName val="131"/>
      <sheetName val="132"/>
      <sheetName val="133"/>
      <sheetName val="134"/>
      <sheetName val="135"/>
      <sheetName val="136"/>
      <sheetName val="137"/>
      <sheetName val="138"/>
      <sheetName val="139"/>
      <sheetName val="140"/>
      <sheetName val="141"/>
      <sheetName val="142"/>
      <sheetName val="143"/>
      <sheetName val="144"/>
      <sheetName val="145"/>
      <sheetName val="146"/>
      <sheetName val="147"/>
      <sheetName val="148"/>
      <sheetName val="149"/>
      <sheetName val="150"/>
      <sheetName val="151"/>
      <sheetName val="152"/>
      <sheetName val="153"/>
      <sheetName val="154"/>
      <sheetName val="155"/>
      <sheetName val="156"/>
      <sheetName val="157"/>
      <sheetName val="158"/>
      <sheetName val="159"/>
      <sheetName val="160"/>
      <sheetName val="161"/>
      <sheetName val="162"/>
      <sheetName val="163"/>
      <sheetName val="164"/>
      <sheetName val="165"/>
      <sheetName val="166"/>
      <sheetName val="167"/>
      <sheetName val="168"/>
      <sheetName val="169"/>
      <sheetName val="170"/>
      <sheetName val="171"/>
      <sheetName val="172"/>
      <sheetName val="173"/>
      <sheetName val="174"/>
      <sheetName val="175"/>
      <sheetName val="176"/>
      <sheetName val="177"/>
      <sheetName val="178"/>
      <sheetName val="179"/>
      <sheetName val="180"/>
      <sheetName val="181"/>
      <sheetName val="182"/>
      <sheetName val="183"/>
      <sheetName val="184"/>
      <sheetName val="185"/>
      <sheetName val="186"/>
      <sheetName val="187"/>
      <sheetName val="188"/>
      <sheetName val="189"/>
      <sheetName val="190"/>
      <sheetName val="191"/>
      <sheetName val="192"/>
      <sheetName val="193"/>
      <sheetName val="194"/>
      <sheetName val="195"/>
      <sheetName val="196"/>
      <sheetName val="197"/>
      <sheetName val="198"/>
      <sheetName val="199"/>
      <sheetName val="200"/>
      <sheetName val="201"/>
      <sheetName val="202"/>
      <sheetName val="203"/>
      <sheetName val="204"/>
      <sheetName val="205"/>
      <sheetName val="206"/>
      <sheetName val="207"/>
      <sheetName val="208"/>
      <sheetName val="20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5"/>
      <sheetName val="276"/>
      <sheetName val="277"/>
      <sheetName val="278"/>
      <sheetName val="279"/>
      <sheetName val="280"/>
      <sheetName val="281"/>
      <sheetName val="282"/>
      <sheetName val="283"/>
      <sheetName val="284"/>
      <sheetName val="285"/>
      <sheetName val="286"/>
      <sheetName val="287"/>
      <sheetName val="288"/>
      <sheetName val="289"/>
      <sheetName val="290"/>
      <sheetName val="291"/>
      <sheetName val="292"/>
      <sheetName val="293"/>
      <sheetName val="294"/>
      <sheetName val="295"/>
      <sheetName val="296"/>
      <sheetName val="297"/>
      <sheetName val="298"/>
      <sheetName val="299"/>
      <sheetName val="300"/>
      <sheetName val="301"/>
      <sheetName val="302"/>
      <sheetName val="303"/>
      <sheetName val="304"/>
      <sheetName val="305"/>
      <sheetName val="306"/>
      <sheetName val="307"/>
      <sheetName val="308"/>
      <sheetName val="309"/>
      <sheetName val="310"/>
      <sheetName val="311"/>
      <sheetName val="312"/>
      <sheetName val="313"/>
      <sheetName val="314"/>
      <sheetName val="315"/>
      <sheetName val="316"/>
      <sheetName val="317"/>
      <sheetName val="318"/>
      <sheetName val="319"/>
      <sheetName val="320"/>
      <sheetName val="321"/>
      <sheetName val="322"/>
      <sheetName val="323"/>
      <sheetName val="324"/>
      <sheetName val="325"/>
      <sheetName val="326"/>
      <sheetName val="327"/>
      <sheetName val="328"/>
      <sheetName val="329"/>
      <sheetName val="330"/>
      <sheetName val="331"/>
      <sheetName val="332"/>
      <sheetName val="333"/>
      <sheetName val="334"/>
      <sheetName val="335"/>
      <sheetName val="336"/>
      <sheetName val="337"/>
      <sheetName val="338"/>
      <sheetName val="339"/>
      <sheetName val="340"/>
      <sheetName val="341"/>
      <sheetName val="342"/>
      <sheetName val="343"/>
      <sheetName val="344"/>
      <sheetName val="345"/>
      <sheetName val="346"/>
      <sheetName val="347"/>
      <sheetName val="348"/>
      <sheetName val="349"/>
      <sheetName val="350"/>
      <sheetName val="351"/>
      <sheetName val="352"/>
      <sheetName val="353"/>
      <sheetName val="354"/>
      <sheetName val="355"/>
      <sheetName val="356"/>
      <sheetName val="357"/>
      <sheetName val="358"/>
      <sheetName val="359"/>
      <sheetName val="360"/>
      <sheetName val="361"/>
      <sheetName val="362"/>
      <sheetName val="363"/>
      <sheetName val="364"/>
      <sheetName val="365"/>
      <sheetName val="366"/>
      <sheetName val="367"/>
      <sheetName val="368"/>
      <sheetName val="369"/>
      <sheetName val="370"/>
      <sheetName val="371"/>
      <sheetName val="372"/>
      <sheetName val="373"/>
      <sheetName val="374"/>
      <sheetName val="375"/>
      <sheetName val="376"/>
      <sheetName val="377"/>
      <sheetName val="378"/>
      <sheetName val="379"/>
      <sheetName val="380"/>
      <sheetName val="381"/>
      <sheetName val="382"/>
      <sheetName val="383"/>
      <sheetName val="384"/>
      <sheetName val="385"/>
      <sheetName val="386"/>
      <sheetName val="387"/>
      <sheetName val="388"/>
      <sheetName val="389"/>
      <sheetName val="390"/>
      <sheetName val="391"/>
      <sheetName val="392"/>
      <sheetName val="393"/>
      <sheetName val="394"/>
      <sheetName val="395"/>
      <sheetName val="396"/>
      <sheetName val="397"/>
      <sheetName val="398"/>
      <sheetName val="399"/>
      <sheetName val="400"/>
      <sheetName val="401"/>
      <sheetName val="402"/>
      <sheetName val="403"/>
      <sheetName val="404"/>
      <sheetName val="405"/>
      <sheetName val="406"/>
      <sheetName val="407"/>
      <sheetName val="408"/>
      <sheetName val="409"/>
      <sheetName val="410"/>
      <sheetName val="411"/>
      <sheetName val="412"/>
      <sheetName val="413"/>
      <sheetName val="414"/>
      <sheetName val="415"/>
      <sheetName val="416"/>
      <sheetName val="417"/>
      <sheetName val="418"/>
      <sheetName val="419"/>
      <sheetName val="420"/>
      <sheetName val="421"/>
      <sheetName val="422"/>
      <sheetName val="423"/>
      <sheetName val="424"/>
      <sheetName val="425"/>
      <sheetName val="426"/>
      <sheetName val="427"/>
      <sheetName val="428"/>
      <sheetName val="429"/>
      <sheetName val="430"/>
      <sheetName val="431"/>
      <sheetName val="432"/>
      <sheetName val="433"/>
      <sheetName val="434"/>
      <sheetName val="435"/>
      <sheetName val="436"/>
      <sheetName val="437"/>
      <sheetName val="438"/>
      <sheetName val="439"/>
      <sheetName val="440"/>
      <sheetName val="441"/>
      <sheetName val="442"/>
      <sheetName val="443"/>
      <sheetName val="444"/>
      <sheetName val="445"/>
      <sheetName val="446"/>
      <sheetName val="447"/>
      <sheetName val="448"/>
      <sheetName val="449"/>
      <sheetName val="450"/>
      <sheetName val="451"/>
      <sheetName val="452"/>
      <sheetName val="453"/>
      <sheetName val="454"/>
      <sheetName val="455"/>
      <sheetName val="456"/>
      <sheetName val="457"/>
      <sheetName val="458"/>
      <sheetName val="459"/>
      <sheetName val="460"/>
      <sheetName val="461"/>
      <sheetName val="462"/>
      <sheetName val="463"/>
      <sheetName val="464"/>
      <sheetName val="465"/>
      <sheetName val="466"/>
      <sheetName val="467"/>
      <sheetName val="468"/>
      <sheetName val="469"/>
      <sheetName val="470"/>
      <sheetName val="471"/>
      <sheetName val="472"/>
      <sheetName val="473"/>
      <sheetName val="474"/>
      <sheetName val="475"/>
      <sheetName val="476"/>
      <sheetName val="477"/>
      <sheetName val="478"/>
      <sheetName val="479"/>
      <sheetName val="480"/>
      <sheetName val="481"/>
      <sheetName val="482"/>
      <sheetName val="483"/>
      <sheetName val="484"/>
      <sheetName val="485"/>
      <sheetName val="486"/>
      <sheetName val="487"/>
      <sheetName val="488"/>
      <sheetName val="489"/>
      <sheetName val="490"/>
      <sheetName val="491"/>
      <sheetName val="492"/>
      <sheetName val="493"/>
      <sheetName val="494"/>
      <sheetName val="495"/>
      <sheetName val="496"/>
      <sheetName val="497"/>
      <sheetName val="498"/>
      <sheetName val="499"/>
      <sheetName val="500"/>
    </sheetNames>
    <sheetDataSet>
      <sheetData sheetId="0">
        <row r="4">
          <cell r="B4" t="str">
            <v>CEM I 52,5 N - VVM nv. - Gent</v>
          </cell>
        </row>
        <row r="5">
          <cell r="B5" t="str">
            <v>CEM III/A 42,5 N LA - VVM nv. - Gent</v>
          </cell>
        </row>
        <row r="6">
          <cell r="B6" t="str">
            <v>CEM III/B 42,5 N LH/SR - VVM nv. - Gent</v>
          </cell>
        </row>
        <row r="10">
          <cell r="B10" t="str">
            <v/>
          </cell>
        </row>
        <row r="11">
          <cell r="B11" t="str">
            <v/>
          </cell>
        </row>
        <row r="12">
          <cell r="B12" t="str">
            <v/>
          </cell>
        </row>
        <row r="13">
          <cell r="B13" t="str">
            <v/>
          </cell>
        </row>
        <row r="14">
          <cell r="B14" t="str">
            <v/>
          </cell>
        </row>
        <row r="15">
          <cell r="B15" t="str">
            <v/>
          </cell>
        </row>
        <row r="16">
          <cell r="B16" t="str">
            <v/>
          </cell>
        </row>
        <row r="17">
          <cell r="B17" t="str">
            <v/>
          </cell>
        </row>
        <row r="18">
          <cell r="B18" t="str">
            <v/>
          </cell>
        </row>
        <row r="19">
          <cell r="B19" t="str">
            <v/>
          </cell>
        </row>
        <row r="20">
          <cell r="B20" t="str">
            <v/>
          </cell>
        </row>
        <row r="21">
          <cell r="B21" t="str">
            <v/>
          </cell>
        </row>
        <row r="22">
          <cell r="B22" t="str">
            <v/>
          </cell>
        </row>
        <row r="23">
          <cell r="B23" t="str">
            <v/>
          </cell>
        </row>
        <row r="24">
          <cell r="B24" t="str">
            <v/>
          </cell>
        </row>
        <row r="25">
          <cell r="B25" t="str">
            <v/>
          </cell>
        </row>
        <row r="26">
          <cell r="B26" t="str">
            <v/>
          </cell>
        </row>
        <row r="27">
          <cell r="B27" t="str">
            <v/>
          </cell>
        </row>
        <row r="28">
          <cell r="B28" t="str">
            <v/>
          </cell>
        </row>
        <row r="29">
          <cell r="B29" t="str">
            <v/>
          </cell>
        </row>
        <row r="30">
          <cell r="B30" t="str">
            <v/>
          </cell>
        </row>
        <row r="31">
          <cell r="B31" t="str">
            <v/>
          </cell>
        </row>
        <row r="32">
          <cell r="B32" t="str">
            <v/>
          </cell>
        </row>
        <row r="33">
          <cell r="B33" t="str">
            <v/>
          </cell>
        </row>
        <row r="34">
          <cell r="B34" t="str">
            <v/>
          </cell>
        </row>
        <row r="35">
          <cell r="B35" t="str">
            <v/>
          </cell>
        </row>
        <row r="36">
          <cell r="B36" t="str">
            <v/>
          </cell>
        </row>
        <row r="37">
          <cell r="B37" t="str">
            <v/>
          </cell>
        </row>
        <row r="38">
          <cell r="B38" t="str">
            <v/>
          </cell>
        </row>
        <row r="39">
          <cell r="B39" t="str">
            <v/>
          </cell>
        </row>
        <row r="40">
          <cell r="B40" t="str">
            <v/>
          </cell>
        </row>
        <row r="41">
          <cell r="B41" t="str">
            <v/>
          </cell>
        </row>
        <row r="42">
          <cell r="B42" t="str">
            <v/>
          </cell>
        </row>
        <row r="43">
          <cell r="B43" t="str">
            <v/>
          </cell>
        </row>
        <row r="44">
          <cell r="B44" t="str">
            <v/>
          </cell>
        </row>
        <row r="45">
          <cell r="B45" t="str">
            <v/>
          </cell>
        </row>
        <row r="46">
          <cell r="B46" t="str">
            <v/>
          </cell>
        </row>
        <row r="47">
          <cell r="B47" t="str">
            <v/>
          </cell>
        </row>
        <row r="48">
          <cell r="B48" t="str">
            <v/>
          </cell>
        </row>
        <row r="49">
          <cell r="B49" t="str">
            <v/>
          </cell>
        </row>
        <row r="50">
          <cell r="B50" t="str">
            <v/>
          </cell>
        </row>
        <row r="51">
          <cell r="B51" t="str">
            <v/>
          </cell>
        </row>
        <row r="52">
          <cell r="B52" t="str">
            <v/>
          </cell>
        </row>
        <row r="53">
          <cell r="B53" t="str">
            <v/>
          </cell>
        </row>
      </sheetData>
      <sheetData sheetId="1">
        <row r="5">
          <cell r="B5" t="str">
            <v>ECO2cem</v>
          </cell>
        </row>
        <row r="6">
          <cell r="B6" t="str">
            <v>kalksteenfiller</v>
          </cell>
        </row>
        <row r="7">
          <cell r="B7" t="str">
            <v/>
          </cell>
        </row>
        <row r="8">
          <cell r="B8" t="str">
            <v/>
          </cell>
        </row>
        <row r="9">
          <cell r="B9" t="str">
            <v/>
          </cell>
        </row>
        <row r="10">
          <cell r="B10" t="str">
            <v/>
          </cell>
        </row>
        <row r="11">
          <cell r="B11" t="str">
            <v/>
          </cell>
        </row>
        <row r="12">
          <cell r="B12" t="str">
            <v/>
          </cell>
        </row>
        <row r="13">
          <cell r="B13" t="str">
            <v/>
          </cell>
        </row>
        <row r="14">
          <cell r="B14" t="str">
            <v/>
          </cell>
        </row>
        <row r="15">
          <cell r="B15" t="str">
            <v/>
          </cell>
        </row>
        <row r="16">
          <cell r="B16" t="str">
            <v/>
          </cell>
        </row>
        <row r="17">
          <cell r="B17" t="str">
            <v/>
          </cell>
        </row>
        <row r="18">
          <cell r="B18" t="str">
            <v/>
          </cell>
        </row>
        <row r="19">
          <cell r="B19" t="str">
            <v/>
          </cell>
        </row>
        <row r="20">
          <cell r="B20" t="str">
            <v/>
          </cell>
        </row>
        <row r="21">
          <cell r="B21" t="str">
            <v/>
          </cell>
        </row>
        <row r="22">
          <cell r="B22" t="str">
            <v/>
          </cell>
        </row>
        <row r="23">
          <cell r="B23" t="str">
            <v/>
          </cell>
        </row>
        <row r="24">
          <cell r="B24" t="str">
            <v/>
          </cell>
        </row>
        <row r="25">
          <cell r="B25" t="str">
            <v/>
          </cell>
        </row>
        <row r="26">
          <cell r="B26" t="str">
            <v/>
          </cell>
        </row>
        <row r="27">
          <cell r="B27" t="str">
            <v/>
          </cell>
        </row>
        <row r="28">
          <cell r="B28" t="str">
            <v/>
          </cell>
        </row>
        <row r="29">
          <cell r="B29" t="str">
            <v/>
          </cell>
        </row>
        <row r="30">
          <cell r="B30" t="str">
            <v/>
          </cell>
        </row>
        <row r="31">
          <cell r="B31" t="str">
            <v/>
          </cell>
        </row>
        <row r="32">
          <cell r="B32" t="str">
            <v/>
          </cell>
        </row>
        <row r="33">
          <cell r="B33" t="str">
            <v/>
          </cell>
        </row>
        <row r="34">
          <cell r="B34" t="str">
            <v/>
          </cell>
        </row>
        <row r="35">
          <cell r="B35" t="str">
            <v/>
          </cell>
        </row>
        <row r="36">
          <cell r="B36" t="str">
            <v/>
          </cell>
        </row>
        <row r="37">
          <cell r="B37" t="str">
            <v/>
          </cell>
        </row>
        <row r="38">
          <cell r="B38" t="str">
            <v/>
          </cell>
        </row>
        <row r="39">
          <cell r="B39" t="str">
            <v/>
          </cell>
        </row>
        <row r="40">
          <cell r="B40" t="str">
            <v/>
          </cell>
        </row>
        <row r="41">
          <cell r="B41" t="str">
            <v/>
          </cell>
        </row>
        <row r="42">
          <cell r="B42" t="str">
            <v/>
          </cell>
        </row>
        <row r="43">
          <cell r="B43" t="str">
            <v/>
          </cell>
        </row>
        <row r="44">
          <cell r="B44" t="str">
            <v/>
          </cell>
        </row>
        <row r="45">
          <cell r="B45" t="str">
            <v/>
          </cell>
        </row>
        <row r="46">
          <cell r="B46" t="str">
            <v/>
          </cell>
        </row>
        <row r="47">
          <cell r="B47" t="str">
            <v/>
          </cell>
        </row>
        <row r="48">
          <cell r="B48" t="str">
            <v/>
          </cell>
        </row>
        <row r="49">
          <cell r="B49" t="str">
            <v/>
          </cell>
        </row>
        <row r="50">
          <cell r="B50" t="str">
            <v/>
          </cell>
        </row>
        <row r="51">
          <cell r="B51" t="str">
            <v/>
          </cell>
        </row>
        <row r="52">
          <cell r="B52" t="str">
            <v/>
          </cell>
        </row>
        <row r="53">
          <cell r="B53" t="str">
            <v/>
          </cell>
        </row>
      </sheetData>
      <sheetData sheetId="2">
        <row r="4">
          <cell r="B4" t="str">
            <v>Rond Zand 0/2 (0/1) FF A f3 a CB SA Ecs20</v>
          </cell>
        </row>
        <row r="5">
          <cell r="B5" t="str">
            <v>Rond zand 0/4(0/2,5) MF A f3 a CB SA</v>
          </cell>
        </row>
        <row r="6">
          <cell r="B6" t="str">
            <v>Rond Zand (0/4) CF A f3 a CB SA gewassen - speciaal</v>
          </cell>
        </row>
        <row r="7">
          <cell r="B7" t="str">
            <v>grof gebroken kalksteengranulaat 2/6 Ca4a I f2 NG</v>
          </cell>
        </row>
        <row r="8">
          <cell r="B8" t="str">
            <v>grof gebroken kalksteengranulaat 6/14 Ca4a II f1,5 NG</v>
          </cell>
        </row>
        <row r="9">
          <cell r="B9" t="str">
            <v>grof gebroken kalksteengranulaat 6/20 Ca4a II f1,5 NG</v>
          </cell>
        </row>
        <row r="10">
          <cell r="B10" t="str">
            <v xml:space="preserve">Taunus 5/11   45% 5-8     </v>
          </cell>
        </row>
        <row r="11">
          <cell r="B11" t="str">
            <v>Lysit 5/11</v>
          </cell>
        </row>
        <row r="12">
          <cell r="B12" t="str">
            <v>Bavaria 8/11</v>
          </cell>
        </row>
        <row r="13">
          <cell r="B13" t="str">
            <v>Bavaria 11/16</v>
          </cell>
        </row>
        <row r="14">
          <cell r="B14" t="str">
            <v>Basalt 2/8</v>
          </cell>
        </row>
        <row r="15">
          <cell r="B15" t="str">
            <v>Basalt 5/11</v>
          </cell>
        </row>
        <row r="16">
          <cell r="B16" t="str">
            <v>grof gebroken porfiergranulaat 4/6,3 Aa2 I f1 NG</v>
          </cell>
        </row>
        <row r="17">
          <cell r="B17" t="str">
            <v>grof gebroken porfiergranulaat 2/20 Aa2 II f1,5 NG</v>
          </cell>
        </row>
        <row r="18">
          <cell r="B18" t="str">
            <v>Gebroken Porfiergranulaat 10/20 R</v>
          </cell>
        </row>
        <row r="19">
          <cell r="B19" t="str">
            <v>Gebroken Porfiergranulaat 6,3/14 Aa2 I f1 NG</v>
          </cell>
        </row>
        <row r="20">
          <cell r="B20" t="str">
            <v>Haute Marnier 4/14   recept wgc27)</v>
          </cell>
        </row>
        <row r="21">
          <cell r="B21" t="str">
            <v>Halfgerold grind 4/16 Cb+ I f0,5 NG gewassen</v>
          </cell>
        </row>
        <row r="22">
          <cell r="B22" t="str">
            <v>Basalt 8/16</v>
          </cell>
        </row>
        <row r="23">
          <cell r="B23" t="str">
            <v>betongranulaat 4/20 mm</v>
          </cell>
        </row>
        <row r="24">
          <cell r="B24" t="str">
            <v>Haute Marne 8/20 R</v>
          </cell>
        </row>
        <row r="25">
          <cell r="B25" t="str">
            <v>Haute Marne 4/8 R</v>
          </cell>
        </row>
        <row r="26">
          <cell r="B26" t="str">
            <v>uitwas blankenberge B6-B10 66% grind/33% porfier rood</v>
          </cell>
        </row>
        <row r="27">
          <cell r="B27" t="str">
            <v>uitwas Knokke</v>
          </cell>
        </row>
        <row r="28">
          <cell r="B28" t="str">
            <v>Mix BF Blankenberge</v>
          </cell>
        </row>
        <row r="29">
          <cell r="B29" t="str">
            <v>uitwas Knokke Jan</v>
          </cell>
        </row>
        <row r="30">
          <cell r="B30" t="str">
            <v>blanc de provence</v>
          </cell>
        </row>
        <row r="31">
          <cell r="B31" t="str">
            <v>hoogwaardig betongranulaat 4/22,4</v>
          </cell>
        </row>
        <row r="32">
          <cell r="B32" t="str">
            <v>Zandsteen porfier 2/20</v>
          </cell>
        </row>
        <row r="33">
          <cell r="B33" t="str">
            <v>Havana 2-8</v>
          </cell>
        </row>
        <row r="34">
          <cell r="B34" t="str">
            <v>Halfgerold maasgrind 4/8 Cb+ I f0,5 NG gewassen</v>
          </cell>
        </row>
        <row r="35">
          <cell r="B35" t="str">
            <v>Rond zand 0/4 rivierzand</v>
          </cell>
        </row>
        <row r="36">
          <cell r="B36" t="str">
            <v>uitwas Oostende</v>
          </cell>
        </row>
        <row r="37">
          <cell r="B37" t="str">
            <v>Maasgrind mix recyclagepark Gent 2/20 mm</v>
          </cell>
        </row>
        <row r="38">
          <cell r="B38" t="str">
            <v>maasgrind mix Vorst   4/8 66%     8/16   33%</v>
          </cell>
        </row>
        <row r="39">
          <cell r="B39" t="str">
            <v>Mix AB Brugge  lysit 5/11 70% - Basalt 5/11 15% - porfier 6/20 15%</v>
          </cell>
        </row>
        <row r="40">
          <cell r="B40" t="str">
            <v>Lysit 2/8</v>
          </cell>
        </row>
        <row r="41">
          <cell r="B41" t="str">
            <v>Rond zand (0/4) geel tono yellow zand</v>
          </cell>
        </row>
        <row r="42">
          <cell r="B42" t="str">
            <v xml:space="preserve">Mix meigem </v>
          </cell>
        </row>
        <row r="43">
          <cell r="B43" t="str">
            <v>bovenrijn rolgrind 4/8</v>
          </cell>
        </row>
        <row r="44">
          <cell r="B44" t="str">
            <v>Mix nieuwpoort rolgrind 6/20 78% en rolgrind 2/6 22%</v>
          </cell>
        </row>
        <row r="45">
          <cell r="B45" t="str">
            <v>Markies 4/6</v>
          </cell>
        </row>
        <row r="46">
          <cell r="B46" t="str">
            <v>Mix Staden gebroken grind 4/8 66% -Gebroken grind 4/16 34%</v>
          </cell>
        </row>
        <row r="47">
          <cell r="B47" t="str">
            <v>Mix Nevele gebroken grind 6/20 66% - lysit 5/11 34%</v>
          </cell>
        </row>
        <row r="48">
          <cell r="B48" t="str">
            <v>Rode Porfier 4/14 mm</v>
          </cell>
        </row>
        <row r="49">
          <cell r="B49" t="str">
            <v>zeegrind 4/8 mm</v>
          </cell>
        </row>
        <row r="50">
          <cell r="B50" t="str">
            <v>zeegrind 11/22 mm</v>
          </cell>
        </row>
        <row r="51">
          <cell r="B51" t="str">
            <v>Mix Kortrijk Seru       porfier 6/14 50%, witte kwarts 5/8 30%,  Roodbruine porfier 4/8 20%</v>
          </cell>
        </row>
        <row r="52">
          <cell r="B52" t="str">
            <v>Mix Ockier Kortrijk</v>
          </cell>
        </row>
        <row r="53">
          <cell r="B53" t="str">
            <v>mix Deinze     Yellow tono 5/8  50%  -  Porfier 6/20 r 50%</v>
          </cell>
        </row>
      </sheetData>
      <sheetData sheetId="3">
        <row r="5">
          <cell r="B5" t="str">
            <v>MasterGlenium 300 con 20%</v>
          </cell>
        </row>
        <row r="6">
          <cell r="B6" t="str">
            <v>MasterAir 104 con 4% LBV</v>
          </cell>
        </row>
        <row r="7">
          <cell r="B7" t="str">
            <v>MasterSet R 130 con 20%</v>
          </cell>
        </row>
        <row r="8">
          <cell r="B8" t="str">
            <v>MasterPozzolith 390N con. 40%</v>
          </cell>
        </row>
        <row r="9">
          <cell r="B9" t="str">
            <v>MasterSet AC555</v>
          </cell>
        </row>
        <row r="10">
          <cell r="B10" t="str">
            <v>Demula BV 1</v>
          </cell>
        </row>
        <row r="11">
          <cell r="B11" t="str">
            <v>Mengolie TM AEA-B</v>
          </cell>
        </row>
        <row r="12">
          <cell r="B12" t="str">
            <v>Polyflow S100 con. 20%</v>
          </cell>
        </row>
        <row r="13">
          <cell r="B13" t="str">
            <v>Demula Fluvicon 95 con. 20%</v>
          </cell>
        </row>
        <row r="14">
          <cell r="B14" t="str">
            <v>Demula Plast</v>
          </cell>
        </row>
        <row r="15">
          <cell r="B15" t="str">
            <v>Latex</v>
          </cell>
        </row>
        <row r="16">
          <cell r="B16" t="str">
            <v>LP 3%</v>
          </cell>
        </row>
        <row r="17">
          <cell r="B17" t="str">
            <v/>
          </cell>
        </row>
        <row r="18">
          <cell r="B18" t="str">
            <v/>
          </cell>
        </row>
        <row r="19">
          <cell r="B19" t="str">
            <v/>
          </cell>
        </row>
        <row r="20">
          <cell r="B20" t="str">
            <v/>
          </cell>
        </row>
        <row r="21">
          <cell r="B21" t="str">
            <v/>
          </cell>
        </row>
        <row r="22">
          <cell r="B22" t="str">
            <v/>
          </cell>
        </row>
        <row r="23">
          <cell r="B23" t="str">
            <v/>
          </cell>
        </row>
        <row r="24">
          <cell r="B24" t="str">
            <v/>
          </cell>
        </row>
        <row r="25">
          <cell r="B25" t="str">
            <v/>
          </cell>
        </row>
        <row r="26">
          <cell r="B26" t="str">
            <v/>
          </cell>
        </row>
        <row r="27">
          <cell r="B27" t="str">
            <v/>
          </cell>
        </row>
        <row r="28">
          <cell r="B28" t="str">
            <v/>
          </cell>
        </row>
        <row r="29">
          <cell r="B29" t="str">
            <v/>
          </cell>
        </row>
        <row r="30">
          <cell r="B30" t="str">
            <v/>
          </cell>
        </row>
        <row r="31">
          <cell r="B31" t="str">
            <v/>
          </cell>
        </row>
        <row r="32">
          <cell r="B32" t="str">
            <v/>
          </cell>
        </row>
        <row r="33">
          <cell r="B33" t="str">
            <v/>
          </cell>
        </row>
        <row r="34">
          <cell r="B34" t="str">
            <v/>
          </cell>
        </row>
        <row r="35">
          <cell r="B35" t="str">
            <v/>
          </cell>
        </row>
        <row r="36">
          <cell r="B36" t="str">
            <v/>
          </cell>
        </row>
        <row r="37">
          <cell r="B37" t="str">
            <v/>
          </cell>
        </row>
        <row r="38">
          <cell r="B38" t="str">
            <v/>
          </cell>
        </row>
        <row r="39">
          <cell r="B39" t="str">
            <v/>
          </cell>
        </row>
        <row r="40">
          <cell r="B40" t="str">
            <v/>
          </cell>
        </row>
        <row r="41">
          <cell r="B41" t="str">
            <v/>
          </cell>
        </row>
        <row r="42">
          <cell r="B42" t="str">
            <v/>
          </cell>
        </row>
        <row r="43">
          <cell r="B43" t="str">
            <v/>
          </cell>
        </row>
        <row r="44">
          <cell r="B44" t="str">
            <v/>
          </cell>
        </row>
        <row r="45">
          <cell r="B45" t="str">
            <v/>
          </cell>
        </row>
        <row r="46">
          <cell r="B46" t="str">
            <v/>
          </cell>
        </row>
        <row r="47">
          <cell r="B47" t="str">
            <v/>
          </cell>
        </row>
        <row r="48">
          <cell r="B48" t="str">
            <v/>
          </cell>
        </row>
      </sheetData>
      <sheetData sheetId="4">
        <row r="5">
          <cell r="B5" t="str">
            <v>aanmaakwater - oppervlaktewater</v>
          </cell>
        </row>
        <row r="6">
          <cell r="B6" t="str">
            <v/>
          </cell>
        </row>
        <row r="7">
          <cell r="B7" t="str">
            <v/>
          </cell>
        </row>
        <row r="8">
          <cell r="B8" t="str">
            <v/>
          </cell>
        </row>
        <row r="9">
          <cell r="B9" t="str">
            <v/>
          </cell>
        </row>
        <row r="10">
          <cell r="B10" t="str">
            <v/>
          </cell>
        </row>
        <row r="11">
          <cell r="B11" t="str">
            <v/>
          </cell>
        </row>
        <row r="12">
          <cell r="B12" t="str">
            <v/>
          </cell>
        </row>
        <row r="13">
          <cell r="B13" t="str">
            <v/>
          </cell>
        </row>
        <row r="14">
          <cell r="B14" t="str">
            <v/>
          </cell>
        </row>
        <row r="15">
          <cell r="B15" t="str">
            <v/>
          </cell>
        </row>
        <row r="16">
          <cell r="B16" t="str">
            <v/>
          </cell>
        </row>
        <row r="17">
          <cell r="B17" t="str">
            <v/>
          </cell>
        </row>
        <row r="18">
          <cell r="B18" t="str">
            <v/>
          </cell>
        </row>
        <row r="19">
          <cell r="B19" t="str">
            <v/>
          </cell>
        </row>
        <row r="20">
          <cell r="B20" t="str">
            <v/>
          </cell>
        </row>
        <row r="21">
          <cell r="B21" t="str">
            <v/>
          </cell>
        </row>
        <row r="22">
          <cell r="B22" t="str">
            <v/>
          </cell>
        </row>
        <row r="23">
          <cell r="B23" t="str">
            <v/>
          </cell>
        </row>
        <row r="24">
          <cell r="B24" t="str">
            <v/>
          </cell>
        </row>
        <row r="25">
          <cell r="B25" t="str">
            <v/>
          </cell>
        </row>
        <row r="26">
          <cell r="B26" t="str">
            <v/>
          </cell>
        </row>
        <row r="27">
          <cell r="B27" t="str">
            <v/>
          </cell>
        </row>
        <row r="28">
          <cell r="B28" t="str">
            <v/>
          </cell>
        </row>
        <row r="29">
          <cell r="B29" t="str">
            <v/>
          </cell>
        </row>
        <row r="30">
          <cell r="B30" t="str">
            <v/>
          </cell>
        </row>
        <row r="31">
          <cell r="B31" t="str">
            <v/>
          </cell>
        </row>
        <row r="32">
          <cell r="B32" t="str">
            <v/>
          </cell>
        </row>
        <row r="33">
          <cell r="B33" t="str">
            <v/>
          </cell>
        </row>
        <row r="34">
          <cell r="B34" t="str">
            <v/>
          </cell>
        </row>
        <row r="35">
          <cell r="B35" t="str">
            <v/>
          </cell>
        </row>
        <row r="36">
          <cell r="B36" t="str">
            <v/>
          </cell>
        </row>
        <row r="37">
          <cell r="B37" t="str">
            <v/>
          </cell>
        </row>
        <row r="38">
          <cell r="B38" t="str">
            <v/>
          </cell>
        </row>
        <row r="39">
          <cell r="B39" t="str">
            <v/>
          </cell>
        </row>
        <row r="40">
          <cell r="B40" t="str">
            <v/>
          </cell>
        </row>
        <row r="41">
          <cell r="B41" t="str">
            <v/>
          </cell>
        </row>
        <row r="42">
          <cell r="B42" t="str">
            <v/>
          </cell>
        </row>
        <row r="43">
          <cell r="B43" t="str">
            <v/>
          </cell>
        </row>
        <row r="44">
          <cell r="B44" t="str">
            <v/>
          </cell>
        </row>
        <row r="45">
          <cell r="B45" t="str">
            <v/>
          </cell>
        </row>
        <row r="46">
          <cell r="B46" t="str">
            <v/>
          </cell>
        </row>
        <row r="47">
          <cell r="B47" t="str">
            <v/>
          </cell>
        </row>
        <row r="48">
          <cell r="B48" t="str">
            <v/>
          </cell>
        </row>
        <row r="49">
          <cell r="B49" t="str">
            <v/>
          </cell>
        </row>
        <row r="50">
          <cell r="B50" t="str">
            <v/>
          </cell>
        </row>
        <row r="51">
          <cell r="B51" t="str">
            <v/>
          </cell>
        </row>
        <row r="52">
          <cell r="B52" t="str">
            <v/>
          </cell>
        </row>
        <row r="53">
          <cell r="B53" t="str">
            <v/>
          </cell>
        </row>
      </sheetData>
      <sheetData sheetId="5"/>
      <sheetData sheetId="6"/>
      <sheetData sheetId="7"/>
      <sheetData sheetId="8"/>
      <sheetData sheetId="9"/>
      <sheetData sheetId="10"/>
      <sheetData sheetId="11"/>
      <sheetData sheetId="12"/>
      <sheetData sheetId="13"/>
      <sheetData sheetId="14"/>
      <sheetData sheetId="15"/>
      <sheetData sheetId="16"/>
      <sheetData sheetId="17">
        <row r="1">
          <cell r="I1">
            <v>0</v>
          </cell>
        </row>
        <row r="2">
          <cell r="I2">
            <v>5</v>
          </cell>
          <cell r="P2">
            <v>2023</v>
          </cell>
        </row>
        <row r="3">
          <cell r="I3">
            <v>7.5</v>
          </cell>
        </row>
        <row r="4">
          <cell r="I4">
            <v>0</v>
          </cell>
        </row>
        <row r="5">
          <cell r="I5">
            <v>0</v>
          </cell>
        </row>
        <row r="6">
          <cell r="I6">
            <v>0</v>
          </cell>
        </row>
        <row r="7">
          <cell r="I7">
            <v>0</v>
          </cell>
        </row>
        <row r="8">
          <cell r="I8">
            <v>0</v>
          </cell>
        </row>
        <row r="37">
          <cell r="A37" t="str">
            <v xml:space="preserve">Prijzen /m3, op basis van vloei S4 uit de mixer bij aankomst werf, franco geleverd met volle vrachten &gt; 9 m³. Basiscement volgens beschikbaarheid </v>
          </cell>
        </row>
      </sheetData>
      <sheetData sheetId="18"/>
      <sheetData sheetId="19"/>
      <sheetData sheetId="20"/>
      <sheetData sheetId="21"/>
      <sheetData sheetId="22"/>
      <sheetData sheetId="23"/>
      <sheetData sheetId="24"/>
      <sheetData sheetId="25"/>
      <sheetData sheetId="26"/>
      <sheetData sheetId="27"/>
      <sheetData sheetId="28">
        <row r="3">
          <cell r="E3" t="str">
            <v>C 8/10</v>
          </cell>
          <cell r="G3" t="str">
            <v>OB*</v>
          </cell>
          <cell r="I3" t="str">
            <v>E0*</v>
          </cell>
          <cell r="L3" t="str">
            <v>X0</v>
          </cell>
          <cell r="O3" t="str">
            <v>S1</v>
          </cell>
          <cell r="Q3" t="str">
            <v>0/10</v>
          </cell>
          <cell r="T3" t="str">
            <v>T (1,50)</v>
          </cell>
          <cell r="V3" t="str">
            <v>PREV 1</v>
          </cell>
        </row>
        <row r="4">
          <cell r="E4" t="str">
            <v>C 12/15</v>
          </cell>
          <cell r="I4" t="str">
            <v>EI*</v>
          </cell>
          <cell r="L4" t="str">
            <v>X0</v>
          </cell>
          <cell r="O4" t="str">
            <v>S2</v>
          </cell>
          <cell r="Q4" t="str">
            <v>0/20</v>
          </cell>
          <cell r="T4" t="str">
            <v>T (1,00)</v>
          </cell>
          <cell r="V4" t="str">
            <v>PREV 2</v>
          </cell>
        </row>
        <row r="5">
          <cell r="E5" t="str">
            <v>C 16/20</v>
          </cell>
          <cell r="I5" t="str">
            <v>EE1*</v>
          </cell>
          <cell r="L5" t="str">
            <v>X0</v>
          </cell>
          <cell r="O5" t="str">
            <v>S3</v>
          </cell>
          <cell r="Q5" t="str">
            <v>0/4</v>
          </cell>
          <cell r="T5" t="str">
            <v>T (0,65)</v>
          </cell>
          <cell r="V5" t="str">
            <v>PREV 3</v>
          </cell>
        </row>
        <row r="6">
          <cell r="E6" t="str">
            <v>C 20/25</v>
          </cell>
          <cell r="I6" t="str">
            <v>EE2*</v>
          </cell>
          <cell r="L6" t="str">
            <v>XF1</v>
          </cell>
          <cell r="O6" t="str">
            <v>S4</v>
          </cell>
          <cell r="Q6" t="str">
            <v>D10</v>
          </cell>
          <cell r="T6" t="str">
            <v>T (0,60)</v>
          </cell>
        </row>
        <row r="7">
          <cell r="E7" t="str">
            <v>C 25/30</v>
          </cell>
          <cell r="I7" t="str">
            <v>EE3*</v>
          </cell>
          <cell r="L7" t="str">
            <v>XF3</v>
          </cell>
          <cell r="O7" t="str">
            <v>S5</v>
          </cell>
          <cell r="Q7" t="str">
            <v>D12</v>
          </cell>
          <cell r="T7" t="str">
            <v>T (0,55)</v>
          </cell>
        </row>
        <row r="8">
          <cell r="E8" t="str">
            <v>C 30/37</v>
          </cell>
          <cell r="I8" t="str">
            <v>EE4*</v>
          </cell>
          <cell r="L8" t="str">
            <v>XF4</v>
          </cell>
          <cell r="Q8" t="str">
            <v>D14</v>
          </cell>
          <cell r="T8" t="str">
            <v>T (0,50)</v>
          </cell>
          <cell r="V8" t="str">
            <v>AR 1</v>
          </cell>
        </row>
        <row r="9">
          <cell r="E9" t="str">
            <v>C 35/45</v>
          </cell>
          <cell r="I9" t="str">
            <v>ES1*</v>
          </cell>
          <cell r="L9" t="str">
            <v>XA1</v>
          </cell>
          <cell r="O9" t="str">
            <v>CC40</v>
          </cell>
          <cell r="Q9" t="str">
            <v>D16</v>
          </cell>
          <cell r="T9" t="str">
            <v>T (0,50)A</v>
          </cell>
          <cell r="V9" t="str">
            <v>AR 2</v>
          </cell>
        </row>
        <row r="10">
          <cell r="E10" t="str">
            <v>C 40/50</v>
          </cell>
          <cell r="I10" t="str">
            <v>ES2*</v>
          </cell>
          <cell r="L10" t="str">
            <v>XF3</v>
          </cell>
          <cell r="O10" t="str">
            <v>CC60</v>
          </cell>
          <cell r="Q10" t="str">
            <v>D16/22</v>
          </cell>
          <cell r="T10" t="str">
            <v>T (0,45)</v>
          </cell>
          <cell r="V10" t="str">
            <v>AR 3</v>
          </cell>
        </row>
        <row r="11">
          <cell r="E11" t="str">
            <v>C 45/55</v>
          </cell>
          <cell r="I11" t="str">
            <v>ES3*</v>
          </cell>
          <cell r="L11" t="str">
            <v>XA1</v>
          </cell>
          <cell r="O11" t="str">
            <v>CC150</v>
          </cell>
          <cell r="Q11" t="str">
            <v>D20</v>
          </cell>
          <cell r="T11" t="str">
            <v>T (0,45)A</v>
          </cell>
        </row>
        <row r="12">
          <cell r="E12" t="str">
            <v>C 50/60</v>
          </cell>
          <cell r="I12" t="str">
            <v>ES4*</v>
          </cell>
          <cell r="L12" t="str">
            <v>XF4 / XA1</v>
          </cell>
          <cell r="Q12" t="str">
            <v>D22</v>
          </cell>
        </row>
        <row r="13">
          <cell r="I13" t="str">
            <v>EE2/EA1*</v>
          </cell>
          <cell r="L13" t="str">
            <v>XA1</v>
          </cell>
          <cell r="Q13" t="str">
            <v>D32</v>
          </cell>
          <cell r="T13" t="str">
            <v>S</v>
          </cell>
          <cell r="V13" t="str">
            <v>n.v.t.</v>
          </cell>
        </row>
        <row r="14">
          <cell r="E14" t="str">
            <v>Wm,min 70 MPa</v>
          </cell>
          <cell r="I14" t="str">
            <v>EE3/EA2*</v>
          </cell>
          <cell r="L14" t="str">
            <v>XA2</v>
          </cell>
          <cell r="Q14" t="str">
            <v>D6</v>
          </cell>
          <cell r="T14" t="str">
            <v>D</v>
          </cell>
          <cell r="V14">
            <v>1</v>
          </cell>
        </row>
        <row r="15">
          <cell r="E15" t="str">
            <v>Wm,min 62,5 MPa</v>
          </cell>
          <cell r="I15" t="str">
            <v>EE4/EA3*</v>
          </cell>
          <cell r="L15" t="str">
            <v>XA3</v>
          </cell>
          <cell r="Q15" t="str">
            <v>D8</v>
          </cell>
          <cell r="T15" t="str">
            <v>H</v>
          </cell>
          <cell r="V15">
            <v>2</v>
          </cell>
        </row>
        <row r="16">
          <cell r="E16" t="str">
            <v>Wm,min 60 MPa</v>
          </cell>
          <cell r="G16" t="str">
            <v>GB</v>
          </cell>
          <cell r="I16" t="str">
            <v>EI</v>
          </cell>
          <cell r="L16" t="str">
            <v>XC1</v>
          </cell>
          <cell r="V16">
            <v>3</v>
          </cell>
        </row>
        <row r="17">
          <cell r="E17" t="str">
            <v>Wm,min 52,5 MPa</v>
          </cell>
          <cell r="I17" t="str">
            <v>EE1</v>
          </cell>
          <cell r="L17" t="str">
            <v>XC2</v>
          </cell>
          <cell r="V17">
            <v>4</v>
          </cell>
        </row>
        <row r="18">
          <cell r="E18" t="str">
            <v>Wm,min 50 MPa</v>
          </cell>
          <cell r="I18" t="str">
            <v xml:space="preserve">EE2 </v>
          </cell>
          <cell r="L18" t="str">
            <v>XC3 / XF1</v>
          </cell>
        </row>
        <row r="19">
          <cell r="E19" t="str">
            <v>Wm,min 42,5 MPa</v>
          </cell>
          <cell r="I19" t="str">
            <v xml:space="preserve">EE3 </v>
          </cell>
          <cell r="L19" t="str">
            <v xml:space="preserve">XC4 / XF3 </v>
          </cell>
        </row>
        <row r="20">
          <cell r="I20" t="str">
            <v>EE4</v>
          </cell>
          <cell r="L20" t="str">
            <v>XC4 / XD3 / XF 4</v>
          </cell>
        </row>
        <row r="21">
          <cell r="E21" t="str">
            <v>C 2.3/3 - stabilisé 3 MPa</v>
          </cell>
          <cell r="I21" t="str">
            <v>ES1</v>
          </cell>
          <cell r="L21" t="str">
            <v>XC2 / XS2 / XA1</v>
          </cell>
        </row>
        <row r="22">
          <cell r="E22" t="str">
            <v>C 2.3/3 - stabilisé 3 MPa recup.</v>
          </cell>
          <cell r="G22" t="str">
            <v>VB</v>
          </cell>
          <cell r="I22" t="str">
            <v>ES2</v>
          </cell>
          <cell r="L22" t="str">
            <v>XC4 / XS1 / XF3</v>
          </cell>
        </row>
        <row r="23">
          <cell r="E23" t="str">
            <v>C 3/4 - stabilisé 4 MPa</v>
          </cell>
          <cell r="I23" t="str">
            <v>ES3</v>
          </cell>
          <cell r="L23" t="str">
            <v>XC1 / XS2 / XA1</v>
          </cell>
        </row>
        <row r="24">
          <cell r="E24" t="str">
            <v>C 3/4 - stabilisé 4 MPa recup.</v>
          </cell>
          <cell r="I24" t="str">
            <v>ES4</v>
          </cell>
          <cell r="L24" t="str">
            <v>XC4 / XS3 / XF4 / XA1</v>
          </cell>
        </row>
        <row r="25">
          <cell r="E25" t="str">
            <v>C 9/12 - schraal beton 12 MPa</v>
          </cell>
          <cell r="I25" t="str">
            <v>EE2/EA1*</v>
          </cell>
          <cell r="L25" t="str">
            <v>XA1</v>
          </cell>
        </row>
        <row r="26">
          <cell r="E26" t="str">
            <v>C 9/12 - schraal beton 12 MPa recup.</v>
          </cell>
          <cell r="I26" t="str">
            <v>EE3/EA2*</v>
          </cell>
          <cell r="L26" t="str">
            <v>XA2</v>
          </cell>
        </row>
        <row r="27">
          <cell r="E27" t="str">
            <v>C 12/16 - schraal beton 15 MPa</v>
          </cell>
          <cell r="I27" t="str">
            <v>EE4/EA3*</v>
          </cell>
          <cell r="L27" t="str">
            <v>XA3</v>
          </cell>
        </row>
        <row r="28">
          <cell r="E28" t="str">
            <v>C 12/16 - schraal beton 15 MPa recup.</v>
          </cell>
        </row>
        <row r="30">
          <cell r="E30" t="str">
            <v>stabilisé 50</v>
          </cell>
        </row>
        <row r="31">
          <cell r="E31" t="str">
            <v>stabilisé 75</v>
          </cell>
        </row>
        <row r="32">
          <cell r="E32" t="str">
            <v>stabilisé 100</v>
          </cell>
        </row>
        <row r="33">
          <cell r="E33" t="str">
            <v>stabilisé 125</v>
          </cell>
        </row>
        <row r="34">
          <cell r="E34" t="str">
            <v>stabilisé 150</v>
          </cell>
        </row>
        <row r="35">
          <cell r="E35" t="str">
            <v>stabilisé 175</v>
          </cell>
        </row>
        <row r="36">
          <cell r="E36" t="str">
            <v>stabilisé 200</v>
          </cell>
        </row>
        <row r="37">
          <cell r="E37" t="str">
            <v>stabilisé 250</v>
          </cell>
        </row>
        <row r="38">
          <cell r="E38" t="str">
            <v>stabilisé 300</v>
          </cell>
        </row>
        <row r="39">
          <cell r="E39" t="str">
            <v>stabilisé 350</v>
          </cell>
        </row>
        <row r="41">
          <cell r="E41" t="str">
            <v>stabilisé 50 recup.</v>
          </cell>
        </row>
        <row r="42">
          <cell r="E42" t="str">
            <v>stabilisé 75 recup.</v>
          </cell>
        </row>
        <row r="43">
          <cell r="E43" t="str">
            <v>stabilisé 100 recup.</v>
          </cell>
        </row>
        <row r="44">
          <cell r="E44" t="str">
            <v>stabilisé 125 recup.</v>
          </cell>
        </row>
        <row r="45">
          <cell r="E45" t="str">
            <v>stabilisé 150 recup.</v>
          </cell>
        </row>
        <row r="46">
          <cell r="E46" t="str">
            <v>stabilisé 175 recup.</v>
          </cell>
        </row>
        <row r="47">
          <cell r="E47" t="str">
            <v>stabilisé 200 recup.</v>
          </cell>
        </row>
        <row r="48">
          <cell r="E48" t="str">
            <v>stabilisé 250 recup.</v>
          </cell>
        </row>
        <row r="49">
          <cell r="E49" t="str">
            <v>stabilisé 300 recup.</v>
          </cell>
        </row>
        <row r="50">
          <cell r="E50" t="str">
            <v>stabilisé 350 recup.</v>
          </cell>
        </row>
        <row r="52">
          <cell r="E52" t="str">
            <v>mager beton 75</v>
          </cell>
        </row>
        <row r="53">
          <cell r="E53" t="str">
            <v>mager beton 100</v>
          </cell>
        </row>
        <row r="54">
          <cell r="E54" t="str">
            <v>mager beton 125</v>
          </cell>
        </row>
        <row r="55">
          <cell r="E55" t="str">
            <v>mager beton 150</v>
          </cell>
        </row>
        <row r="56">
          <cell r="E56" t="str">
            <v>mager beton 175</v>
          </cell>
        </row>
        <row r="57">
          <cell r="E57" t="str">
            <v>mager beton 200</v>
          </cell>
        </row>
        <row r="58">
          <cell r="E58" t="str">
            <v>mager beton 225</v>
          </cell>
        </row>
        <row r="59">
          <cell r="E59" t="str">
            <v>mager beton 250</v>
          </cell>
        </row>
        <row r="60">
          <cell r="E60" t="str">
            <v>Mager beton 275</v>
          </cell>
        </row>
        <row r="61">
          <cell r="E61" t="str">
            <v>Mager beton 300</v>
          </cell>
        </row>
        <row r="62">
          <cell r="E62" t="str">
            <v>Mager beton 325</v>
          </cell>
        </row>
        <row r="63">
          <cell r="E63" t="str">
            <v>Mager beton 350</v>
          </cell>
        </row>
        <row r="65">
          <cell r="E65" t="str">
            <v>mager beton 75 recup.</v>
          </cell>
        </row>
        <row r="66">
          <cell r="E66" t="str">
            <v>mager beton 100 recup.</v>
          </cell>
        </row>
        <row r="67">
          <cell r="E67" t="str">
            <v>mager beton 125 recup.</v>
          </cell>
        </row>
        <row r="68">
          <cell r="E68" t="str">
            <v>mager beton 150 recup.</v>
          </cell>
        </row>
        <row r="69">
          <cell r="E69" t="str">
            <v>mager beton 175 recup.</v>
          </cell>
        </row>
        <row r="70">
          <cell r="E70" t="str">
            <v>mager beton 200 recup.</v>
          </cell>
        </row>
        <row r="71">
          <cell r="E71" t="str">
            <v>mager beton 225 recup.</v>
          </cell>
        </row>
        <row r="72">
          <cell r="E72" t="str">
            <v>mager beton 250 recup.</v>
          </cell>
        </row>
        <row r="73">
          <cell r="E73" t="str">
            <v>Mager beton 275 recup.</v>
          </cell>
        </row>
        <row r="74">
          <cell r="E74" t="str">
            <v>Mager beton 300 recup.</v>
          </cell>
        </row>
        <row r="75">
          <cell r="E75" t="str">
            <v>Mager beton 325 recup.</v>
          </cell>
        </row>
        <row r="76">
          <cell r="E76" t="str">
            <v>Mager beton 350 recup.</v>
          </cell>
        </row>
        <row r="78">
          <cell r="E78" t="str">
            <v>Samenstelling 200</v>
          </cell>
        </row>
        <row r="79">
          <cell r="E79" t="str">
            <v>Samenstelling 250</v>
          </cell>
        </row>
        <row r="80">
          <cell r="E80" t="str">
            <v>Samenstelling 275</v>
          </cell>
        </row>
        <row r="81">
          <cell r="E81" t="str">
            <v>Samenstelling 300</v>
          </cell>
        </row>
        <row r="82">
          <cell r="E82" t="str">
            <v>Samenstelling 325</v>
          </cell>
        </row>
        <row r="83">
          <cell r="E83" t="str">
            <v>Samenstelling 350</v>
          </cell>
        </row>
        <row r="84">
          <cell r="E84" t="str">
            <v>Samenstelling 375</v>
          </cell>
        </row>
        <row r="85">
          <cell r="E85" t="str">
            <v>Samenstelling 400</v>
          </cell>
        </row>
        <row r="88">
          <cell r="E88" t="str">
            <v>C 3/4 - cementgeb. steenslagfundering type IA</v>
          </cell>
        </row>
        <row r="89">
          <cell r="E89" t="str">
            <v>C 3/4 - cementgeb. steenslagfundering type IIA</v>
          </cell>
        </row>
        <row r="90">
          <cell r="E90" t="str">
            <v>drainerend schraal beton 13 MPa</v>
          </cell>
        </row>
        <row r="91">
          <cell r="E91" t="str">
            <v>C 16/20 - walsbeton 20 MPa</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pt"/>
      <sheetName val="Omgeving"/>
      <sheetName val="Grondstoffenlijst"/>
      <sheetName val="Hulpstoffen"/>
      <sheetName val="Druksterktes"/>
      <sheetName val="Blad1"/>
    </sheetNames>
    <sheetDataSet>
      <sheetData sheetId="0"/>
      <sheetData sheetId="1"/>
      <sheetData sheetId="2">
        <row r="5">
          <cell r="C5">
            <v>0</v>
          </cell>
        </row>
        <row r="20">
          <cell r="C20">
            <v>0</v>
          </cell>
        </row>
        <row r="21">
          <cell r="C21">
            <v>0</v>
          </cell>
        </row>
        <row r="22">
          <cell r="C22">
            <v>0</v>
          </cell>
        </row>
        <row r="23">
          <cell r="C23">
            <v>0</v>
          </cell>
        </row>
        <row r="24">
          <cell r="C24">
            <v>0</v>
          </cell>
        </row>
        <row r="25">
          <cell r="C25">
            <v>0</v>
          </cell>
        </row>
        <row r="26">
          <cell r="C26">
            <v>0</v>
          </cell>
        </row>
        <row r="27">
          <cell r="C27">
            <v>0</v>
          </cell>
        </row>
        <row r="28">
          <cell r="C28">
            <v>0</v>
          </cell>
        </row>
        <row r="29">
          <cell r="C29">
            <v>0</v>
          </cell>
        </row>
        <row r="30">
          <cell r="C30">
            <v>0</v>
          </cell>
        </row>
        <row r="31">
          <cell r="C31">
            <v>0</v>
          </cell>
        </row>
        <row r="32">
          <cell r="C32">
            <v>0</v>
          </cell>
        </row>
        <row r="33">
          <cell r="C33">
            <v>0</v>
          </cell>
        </row>
        <row r="34">
          <cell r="C34">
            <v>0</v>
          </cell>
        </row>
        <row r="35">
          <cell r="C35">
            <v>0</v>
          </cell>
        </row>
        <row r="36">
          <cell r="C36">
            <v>0</v>
          </cell>
        </row>
        <row r="37">
          <cell r="C37">
            <v>0</v>
          </cell>
        </row>
        <row r="38">
          <cell r="C38">
            <v>0</v>
          </cell>
        </row>
        <row r="39">
          <cell r="C39">
            <v>0</v>
          </cell>
        </row>
        <row r="40">
          <cell r="C40" t="str">
            <v>zw</v>
          </cell>
        </row>
        <row r="41">
          <cell r="C41" t="str">
            <v>rw</v>
          </cell>
        </row>
        <row r="42">
          <cell r="C42">
            <v>0</v>
          </cell>
        </row>
        <row r="43">
          <cell r="C43">
            <v>0</v>
          </cell>
        </row>
      </sheetData>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tte Ecomix"/>
      <sheetName val="Prix"/>
      <sheetName val="Demmande en Eau"/>
      <sheetName val="Ciments-Eau"/>
      <sheetName val="Granulats"/>
      <sheetName val="Adjuvants"/>
      <sheetName val="Donnée"/>
    </sheetNames>
    <sheetDataSet>
      <sheetData sheetId="0"/>
      <sheetData sheetId="1"/>
      <sheetData sheetId="2"/>
      <sheetData sheetId="3">
        <row r="3">
          <cell r="C3" t="str">
            <v>CEM III ,32,5</v>
          </cell>
        </row>
      </sheetData>
      <sheetData sheetId="4">
        <row r="3">
          <cell r="C3" t="str">
            <v>0</v>
          </cell>
        </row>
      </sheetData>
      <sheetData sheetId="5">
        <row r="3">
          <cell r="C3" t="str">
            <v>2420</v>
          </cell>
        </row>
      </sheetData>
      <sheetData sheetId="6">
        <row r="1">
          <cell r="A1" t="str">
            <v>50KG</v>
          </cell>
          <cell r="B1" t="str">
            <v>ST</v>
          </cell>
          <cell r="C1" t="str">
            <v>BA-S1</v>
          </cell>
        </row>
        <row r="2">
          <cell r="B2" t="str">
            <v>BM</v>
          </cell>
          <cell r="C2" t="str">
            <v>BA-S2</v>
          </cell>
        </row>
        <row r="3">
          <cell r="B3" t="str">
            <v>BE</v>
          </cell>
          <cell r="C3" t="str">
            <v>BA-S3</v>
          </cell>
        </row>
        <row r="4">
          <cell r="B4" t="str">
            <v xml:space="preserve">BA </v>
          </cell>
          <cell r="C4" t="str">
            <v>BA-S4</v>
          </cell>
        </row>
        <row r="5">
          <cell r="B5" t="str">
            <v>E0-BA</v>
          </cell>
          <cell r="C5" t="str">
            <v>BA-S5</v>
          </cell>
        </row>
        <row r="6">
          <cell r="B6" t="str">
            <v>EI-BA</v>
          </cell>
          <cell r="C6" t="str">
            <v>BA-S6</v>
          </cell>
        </row>
        <row r="7">
          <cell r="B7" t="str">
            <v>EE1-BA</v>
          </cell>
        </row>
        <row r="8">
          <cell r="B8" t="str">
            <v>EE2-BA</v>
          </cell>
          <cell r="C8" t="str">
            <v>BP-S1</v>
          </cell>
        </row>
        <row r="9">
          <cell r="B9" t="str">
            <v>EE2-BA</v>
          </cell>
          <cell r="C9" t="str">
            <v>BP-S2</v>
          </cell>
        </row>
        <row r="10">
          <cell r="B10" t="str">
            <v>EE3-BA</v>
          </cell>
          <cell r="C10" t="str">
            <v>BP-S3</v>
          </cell>
        </row>
        <row r="11">
          <cell r="B11" t="str">
            <v>EE4-BA</v>
          </cell>
          <cell r="C11" t="str">
            <v>BP-S4</v>
          </cell>
        </row>
        <row r="12">
          <cell r="B12" t="str">
            <v>EE4(A)BA</v>
          </cell>
          <cell r="C12" t="str">
            <v>BP-S5</v>
          </cell>
        </row>
        <row r="13">
          <cell r="B13" t="str">
            <v>EA-1-BA</v>
          </cell>
          <cell r="C13" t="str">
            <v>S0</v>
          </cell>
        </row>
        <row r="14">
          <cell r="B14" t="str">
            <v>EA-2-BA</v>
          </cell>
          <cell r="C14" t="str">
            <v>S1</v>
          </cell>
        </row>
        <row r="15">
          <cell r="B15" t="str">
            <v>EA-3-BA</v>
          </cell>
          <cell r="C15" t="str">
            <v>S2</v>
          </cell>
        </row>
        <row r="16">
          <cell r="B16" t="str">
            <v>EE1-BP</v>
          </cell>
          <cell r="C16" t="str">
            <v>S3</v>
          </cell>
        </row>
        <row r="17">
          <cell r="B17" t="str">
            <v>EE2-BP</v>
          </cell>
          <cell r="C17" t="str">
            <v>S4</v>
          </cell>
        </row>
        <row r="18">
          <cell r="B18" t="str">
            <v>EE2-BP</v>
          </cell>
          <cell r="C18" t="str">
            <v>S5</v>
          </cell>
        </row>
        <row r="19">
          <cell r="B19" t="str">
            <v>EE3-BP</v>
          </cell>
        </row>
        <row r="20">
          <cell r="B20" t="str">
            <v>EE4-BP</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Fiche Technique (alle metingen)"/>
      <sheetName val="Fiche Technique (15)"/>
      <sheetName val="Statistisch"/>
      <sheetName val="Omrekening"/>
      <sheetName val="BTZ"/>
      <sheetName val="ZZo"/>
      <sheetName val="AFNORdata"/>
    </sheetNames>
    <sheetDataSet>
      <sheetData sheetId="0"/>
      <sheetData sheetId="1"/>
      <sheetData sheetId="2">
        <row r="3">
          <cell r="B3" t="str">
            <v>Partie Normative</v>
          </cell>
        </row>
        <row r="4">
          <cell r="E4" t="str">
            <v>D</v>
          </cell>
          <cell r="F4" t="str">
            <v>1.58 D</v>
          </cell>
          <cell r="G4" t="str">
            <v>2D</v>
          </cell>
        </row>
        <row r="5">
          <cell r="D5">
            <v>0.08</v>
          </cell>
          <cell r="E5">
            <v>4</v>
          </cell>
          <cell r="F5">
            <v>6.3</v>
          </cell>
          <cell r="G5">
            <v>8</v>
          </cell>
          <cell r="H5" t="str">
            <v>MF</v>
          </cell>
          <cell r="I5" t="str">
            <v>PS</v>
          </cell>
          <cell r="J5" t="str">
            <v>Ab</v>
          </cell>
          <cell r="K5" t="str">
            <v>Imp</v>
          </cell>
          <cell r="L5" t="str">
            <v>S</v>
          </cell>
          <cell r="M5" t="str">
            <v>SO3</v>
          </cell>
        </row>
        <row r="6">
          <cell r="B6" t="str">
            <v>Valeurs spécifiées</v>
          </cell>
          <cell r="C6" t="str">
            <v>Vss</v>
          </cell>
          <cell r="D6">
            <v>3</v>
          </cell>
          <cell r="E6">
            <v>99</v>
          </cell>
          <cell r="H6">
            <v>2.4500000000000002</v>
          </cell>
          <cell r="J6">
            <v>2.5</v>
          </cell>
          <cell r="K6">
            <v>0.1</v>
          </cell>
          <cell r="L6">
            <v>0.4</v>
          </cell>
          <cell r="M6">
            <v>0.2</v>
          </cell>
        </row>
        <row r="7">
          <cell r="C7" t="str">
            <v>Vsi</v>
          </cell>
          <cell r="D7">
            <v>0</v>
          </cell>
          <cell r="E7">
            <v>85</v>
          </cell>
          <cell r="F7">
            <v>99</v>
          </cell>
          <cell r="G7">
            <v>100</v>
          </cell>
          <cell r="H7">
            <v>1.85</v>
          </cell>
          <cell r="I7">
            <v>60</v>
          </cell>
        </row>
        <row r="8">
          <cell r="B8" t="str">
            <v>Valeurs limites</v>
          </cell>
          <cell r="C8" t="str">
            <v>Vss+u</v>
          </cell>
          <cell r="D8">
            <v>4</v>
          </cell>
          <cell r="E8">
            <v>100</v>
          </cell>
          <cell r="H8">
            <v>2.6</v>
          </cell>
          <cell r="J8">
            <v>3</v>
          </cell>
          <cell r="M8">
            <v>0.3</v>
          </cell>
        </row>
        <row r="9">
          <cell r="B9" t="str">
            <v>absolues Xu</v>
          </cell>
          <cell r="C9" t="str">
            <v>Vsi-u</v>
          </cell>
          <cell r="D9">
            <v>0</v>
          </cell>
          <cell r="E9">
            <v>82</v>
          </cell>
          <cell r="F9">
            <v>96</v>
          </cell>
          <cell r="G9">
            <v>99</v>
          </cell>
          <cell r="H9">
            <v>1.7</v>
          </cell>
          <cell r="I9">
            <v>55</v>
          </cell>
        </row>
        <row r="12">
          <cell r="B12" t="str">
            <v>Vsi</v>
          </cell>
          <cell r="C12">
            <v>0</v>
          </cell>
          <cell r="J12">
            <v>85</v>
          </cell>
          <cell r="L12">
            <v>99</v>
          </cell>
          <cell r="M12">
            <v>100</v>
          </cell>
        </row>
        <row r="13">
          <cell r="B13" t="str">
            <v>Vss</v>
          </cell>
          <cell r="C13">
            <v>3</v>
          </cell>
          <cell r="J13">
            <v>99</v>
          </cell>
        </row>
        <row r="14">
          <cell r="B14" t="str">
            <v>Partie Informative</v>
          </cell>
          <cell r="L14" t="str">
            <v>Nombre de valeurs totales :</v>
          </cell>
        </row>
        <row r="15">
          <cell r="E15" t="str">
            <v>Résultats du producteur pour la période du :</v>
          </cell>
          <cell r="F15">
            <v>38278</v>
          </cell>
          <cell r="L15" t="str">
            <v>Date d'emission:</v>
          </cell>
        </row>
        <row r="16">
          <cell r="D16" t="str">
            <v xml:space="preserve"> </v>
          </cell>
          <cell r="E16" t="str">
            <v>au :</v>
          </cell>
          <cell r="F16">
            <v>38370</v>
          </cell>
        </row>
        <row r="17">
          <cell r="C17">
            <v>0.08</v>
          </cell>
          <cell r="D17">
            <v>0.16</v>
          </cell>
          <cell r="E17">
            <v>0.315</v>
          </cell>
          <cell r="F17">
            <v>0.63</v>
          </cell>
          <cell r="G17">
            <v>1.25</v>
          </cell>
          <cell r="H17">
            <v>2.5</v>
          </cell>
          <cell r="I17">
            <v>3.15</v>
          </cell>
          <cell r="J17">
            <v>4</v>
          </cell>
          <cell r="K17">
            <v>5</v>
          </cell>
          <cell r="L17">
            <v>6.3</v>
          </cell>
          <cell r="M17">
            <v>8</v>
          </cell>
          <cell r="N17" t="str">
            <v>MF</v>
          </cell>
        </row>
        <row r="18">
          <cell r="B18" t="str">
            <v>Maximum</v>
          </cell>
          <cell r="C18">
            <v>1.75</v>
          </cell>
          <cell r="D18">
            <v>1.94</v>
          </cell>
          <cell r="E18">
            <v>38.44</v>
          </cell>
          <cell r="F18">
            <v>82.26</v>
          </cell>
          <cell r="G18">
            <v>88.73</v>
          </cell>
          <cell r="H18">
            <v>92.96</v>
          </cell>
          <cell r="I18">
            <v>94.68</v>
          </cell>
          <cell r="J18">
            <v>96.65</v>
          </cell>
          <cell r="K18">
            <v>98.13</v>
          </cell>
          <cell r="L18">
            <v>99.61</v>
          </cell>
          <cell r="M18">
            <v>100</v>
          </cell>
          <cell r="N18">
            <v>2.16</v>
          </cell>
        </row>
        <row r="19">
          <cell r="B19" t="str">
            <v>Xf + 1.25sf</v>
          </cell>
          <cell r="C19">
            <v>1.68</v>
          </cell>
          <cell r="D19">
            <v>1.94</v>
          </cell>
          <cell r="E19">
            <v>37.799999999999997</v>
          </cell>
          <cell r="F19">
            <v>81.03</v>
          </cell>
          <cell r="G19">
            <v>88.51</v>
          </cell>
          <cell r="H19">
            <v>93.05</v>
          </cell>
          <cell r="I19">
            <v>94.58</v>
          </cell>
          <cell r="J19">
            <v>97.06</v>
          </cell>
          <cell r="K19">
            <v>97.84</v>
          </cell>
          <cell r="L19">
            <v>99.64</v>
          </cell>
          <cell r="M19">
            <v>100</v>
          </cell>
          <cell r="N19" t="e">
            <v>#DIV/0!</v>
          </cell>
        </row>
        <row r="20">
          <cell r="B20" t="str">
            <v>Moyenne Xf</v>
          </cell>
          <cell r="C20">
            <v>0.7</v>
          </cell>
          <cell r="D20">
            <v>1.6</v>
          </cell>
          <cell r="E20">
            <v>35.200000000000003</v>
          </cell>
          <cell r="F20">
            <v>79.3</v>
          </cell>
          <cell r="G20">
            <v>87.2</v>
          </cell>
          <cell r="H20">
            <v>92.1</v>
          </cell>
          <cell r="I20">
            <v>93.8</v>
          </cell>
          <cell r="J20">
            <v>94.6</v>
          </cell>
          <cell r="K20">
            <v>97.4</v>
          </cell>
          <cell r="L20">
            <v>99.2</v>
          </cell>
          <cell r="M20">
            <v>100</v>
          </cell>
          <cell r="N20" t="e">
            <v>#DIV/0!</v>
          </cell>
        </row>
        <row r="21">
          <cell r="B21" t="str">
            <v>Xf - 1.25sf</v>
          </cell>
          <cell r="C21">
            <v>-0.28000000000000003</v>
          </cell>
          <cell r="D21">
            <v>1.26</v>
          </cell>
          <cell r="E21">
            <v>32.6</v>
          </cell>
          <cell r="F21">
            <v>77.58</v>
          </cell>
          <cell r="G21">
            <v>85.89</v>
          </cell>
          <cell r="H21">
            <v>91.15</v>
          </cell>
          <cell r="I21">
            <v>93.03</v>
          </cell>
          <cell r="J21">
            <v>92.14</v>
          </cell>
          <cell r="K21">
            <v>96.96</v>
          </cell>
          <cell r="L21">
            <v>98.76</v>
          </cell>
          <cell r="M21">
            <v>100</v>
          </cell>
          <cell r="N21" t="e">
            <v>#DIV/0!</v>
          </cell>
        </row>
        <row r="22">
          <cell r="B22" t="str">
            <v>Minimum</v>
          </cell>
          <cell r="C22">
            <v>0.11</v>
          </cell>
          <cell r="D22">
            <v>0.93</v>
          </cell>
          <cell r="E22">
            <v>32.31</v>
          </cell>
          <cell r="F22">
            <v>77.040000000000006</v>
          </cell>
          <cell r="G22">
            <v>85.48</v>
          </cell>
          <cell r="H22">
            <v>90.55</v>
          </cell>
          <cell r="I22">
            <v>92.53</v>
          </cell>
          <cell r="J22">
            <v>91.99</v>
          </cell>
          <cell r="K22">
            <v>96.85</v>
          </cell>
          <cell r="L22">
            <v>98.62</v>
          </cell>
          <cell r="M22">
            <v>100</v>
          </cell>
          <cell r="N22">
            <v>1.97</v>
          </cell>
        </row>
        <row r="23">
          <cell r="B23" t="str">
            <v>Ecart-type sf</v>
          </cell>
          <cell r="C23">
            <v>0.78</v>
          </cell>
          <cell r="D23">
            <v>0.27</v>
          </cell>
          <cell r="E23">
            <v>2.08</v>
          </cell>
          <cell r="F23">
            <v>1.38</v>
          </cell>
          <cell r="G23">
            <v>1.05</v>
          </cell>
          <cell r="H23">
            <v>0.76</v>
          </cell>
          <cell r="I23">
            <v>0.62</v>
          </cell>
          <cell r="J23">
            <v>1.97</v>
          </cell>
          <cell r="K23">
            <v>0.35</v>
          </cell>
          <cell r="L23">
            <v>0.35</v>
          </cell>
          <cell r="M23">
            <v>0</v>
          </cell>
          <cell r="N23">
            <v>0.05</v>
          </cell>
        </row>
        <row r="24">
          <cell r="B24" t="str">
            <v>Nombre de Valeurs</v>
          </cell>
          <cell r="C24">
            <v>15</v>
          </cell>
          <cell r="D24">
            <v>15</v>
          </cell>
          <cell r="E24">
            <v>15</v>
          </cell>
          <cell r="F24">
            <v>15</v>
          </cell>
          <cell r="G24">
            <v>15</v>
          </cell>
          <cell r="H24">
            <v>15</v>
          </cell>
          <cell r="I24">
            <v>15</v>
          </cell>
          <cell r="J24">
            <v>15</v>
          </cell>
          <cell r="K24">
            <v>15</v>
          </cell>
          <cell r="L24">
            <v>15</v>
          </cell>
          <cell r="M24">
            <v>15</v>
          </cell>
          <cell r="N24">
            <v>15</v>
          </cell>
        </row>
        <row r="31">
          <cell r="N31" t="str">
            <v>Matières organiques :</v>
          </cell>
        </row>
        <row r="32">
          <cell r="N32" t="str">
            <v>Absorption d'eaux (Ab) :</v>
          </cell>
        </row>
        <row r="33">
          <cell r="N33" t="str">
            <v>Impuretés prohibées (Imp):</v>
          </cell>
        </row>
        <row r="34">
          <cell r="N34" t="str">
            <v>Alcali - réaction :</v>
          </cell>
        </row>
        <row r="38">
          <cell r="N38" t="str">
            <v>Soufre total (S):</v>
          </cell>
        </row>
        <row r="39">
          <cell r="N39" t="str">
            <v>Sulfates (S03):</v>
          </cell>
        </row>
        <row r="40">
          <cell r="N40" t="str">
            <v xml:space="preserve">Chlorures : </v>
          </cell>
        </row>
        <row r="41">
          <cell r="N41" t="str">
            <v>MVR (Masse Volumique Réelle) :</v>
          </cell>
        </row>
      </sheetData>
      <sheetData sheetId="3"/>
      <sheetData sheetId="4"/>
      <sheetData sheetId="5" refreshError="1"/>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B4CE-A394-4EA8-B92E-47612E0C445C}">
  <sheetPr codeName="Blad18">
    <tabColor rgb="FF00B0F0"/>
    <pageSetUpPr fitToPage="1"/>
  </sheetPr>
  <dimension ref="A1:EK190"/>
  <sheetViews>
    <sheetView tabSelected="1" zoomScale="80" zoomScaleNormal="80" zoomScalePageLayoutView="80" workbookViewId="0">
      <pane ySplit="7" topLeftCell="A8" activePane="bottomLeft" state="frozenSplit"/>
      <selection activeCell="T32" sqref="T32"/>
      <selection pane="bottomLeft" activeCell="L2" sqref="L2"/>
    </sheetView>
  </sheetViews>
  <sheetFormatPr defaultColWidth="9.1796875" defaultRowHeight="15.5" x14ac:dyDescent="0.35"/>
  <cols>
    <col min="1" max="1" width="45.453125" style="6" bestFit="1" customWidth="1"/>
    <col min="2" max="2" width="12.453125" style="6" bestFit="1" customWidth="1"/>
    <col min="3" max="3" width="10.453125" style="6" customWidth="1"/>
    <col min="4" max="4" width="15.453125" style="6" customWidth="1"/>
    <col min="5" max="5" width="11.453125" style="6" customWidth="1"/>
    <col min="6" max="6" width="16.453125" style="6" bestFit="1" customWidth="1"/>
    <col min="7" max="7" width="10.1796875" style="6" customWidth="1"/>
    <col min="8" max="9" width="10.453125" style="6" bestFit="1" customWidth="1"/>
    <col min="10" max="10" width="10.453125" style="6" customWidth="1"/>
    <col min="11" max="12" width="8.453125" style="6" customWidth="1"/>
    <col min="13" max="13" width="14.453125" style="6" bestFit="1" customWidth="1"/>
    <col min="14" max="14" width="11.453125" style="6" bestFit="1" customWidth="1"/>
    <col min="15" max="15" width="23.1796875" style="6" bestFit="1" customWidth="1"/>
    <col min="16" max="16" width="23.453125" style="6" customWidth="1"/>
    <col min="17" max="17" width="9.453125" style="6" customWidth="1"/>
    <col min="18" max="18" width="11.453125" style="6" customWidth="1"/>
    <col min="19" max="19" width="9.453125" style="6" customWidth="1"/>
    <col min="20" max="20" width="10" style="6" bestFit="1" customWidth="1"/>
    <col min="21" max="21" width="7" style="6" customWidth="1"/>
    <col min="22" max="22" width="12.453125" style="6" customWidth="1"/>
    <col min="23" max="23" width="10.453125" style="6" customWidth="1"/>
    <col min="24" max="25" width="8.453125" style="6" customWidth="1"/>
    <col min="26" max="26" width="7" style="6" customWidth="1"/>
    <col min="27" max="27" width="8.453125" style="6" customWidth="1"/>
    <col min="28" max="42" width="7" style="6" customWidth="1"/>
    <col min="43" max="43" width="9.1796875" style="6"/>
    <col min="44" max="44" width="9.1796875" style="7"/>
    <col min="45" max="45" width="12.453125" style="7" customWidth="1"/>
    <col min="46" max="46" width="47.453125" style="6" customWidth="1"/>
    <col min="47" max="47" width="7.1796875" style="6" customWidth="1"/>
    <col min="48" max="48" width="5.453125" style="6" customWidth="1"/>
    <col min="49" max="49" width="7.453125" style="6" customWidth="1"/>
    <col min="50" max="50" width="8.453125" style="6" customWidth="1"/>
    <col min="51" max="51" width="7" style="6" customWidth="1"/>
    <col min="52" max="52" width="7.453125" style="6" customWidth="1"/>
    <col min="53" max="53" width="7" style="6" customWidth="1"/>
    <col min="54" max="54" width="8.453125" style="6" customWidth="1"/>
    <col min="55" max="55" width="7" style="6" customWidth="1"/>
    <col min="56" max="56" width="7.453125" style="6" customWidth="1"/>
    <col min="57" max="57" width="7" style="6" customWidth="1"/>
    <col min="58" max="58" width="19.453125" style="6" customWidth="1"/>
    <col min="59" max="59" width="10.1796875" style="6" bestFit="1" customWidth="1"/>
    <col min="60" max="64" width="5.453125" style="6" customWidth="1"/>
    <col min="65" max="65" width="10.453125" style="6" bestFit="1" customWidth="1"/>
    <col min="66" max="93" width="5.453125" style="6" customWidth="1"/>
    <col min="94" max="94" width="9.453125" style="7" customWidth="1"/>
    <col min="95" max="104" width="10.453125" style="7" customWidth="1"/>
    <col min="105" max="105" width="9.1796875" style="7"/>
    <col min="106" max="106" width="22.453125" style="7" customWidth="1"/>
    <col min="107" max="107" width="10.453125" style="7" customWidth="1"/>
    <col min="108" max="108" width="13.453125" style="7" customWidth="1"/>
    <col min="109" max="109" width="9.1796875" style="7"/>
    <col min="110" max="110" width="13.453125" style="7" customWidth="1"/>
    <col min="111" max="111" width="10.453125" style="7" customWidth="1"/>
    <col min="112" max="112" width="13.453125" style="7" customWidth="1"/>
    <col min="113" max="113" width="8.453125" style="7" customWidth="1"/>
    <col min="114" max="114" width="10.453125" style="7" customWidth="1"/>
    <col min="115" max="115" width="17" style="7" customWidth="1"/>
    <col min="116" max="116" width="10.453125" style="7" customWidth="1"/>
    <col min="117" max="131" width="9.1796875" style="7"/>
    <col min="132" max="132" width="19.453125" style="7" customWidth="1"/>
    <col min="133" max="133" width="16.453125" style="7" customWidth="1"/>
    <col min="134" max="134" width="18.1796875" style="7" customWidth="1"/>
    <col min="135" max="136" width="12.453125" style="7" customWidth="1"/>
    <col min="137" max="141" width="9.1796875" style="7"/>
    <col min="142" max="16384" width="9.1796875" style="6"/>
  </cols>
  <sheetData>
    <row r="1" spans="1:141" ht="22.5" customHeight="1" x14ac:dyDescent="0.35">
      <c r="A1" s="1" t="s">
        <v>0</v>
      </c>
      <c r="B1" s="340" t="str">
        <f>IF($B$2="","",B3&amp;M9&amp;B4&amp;M9&amp;E3&amp;M9&amp;E4&amp;M9&amp;H3&amp;M9&amp;H4&amp;M9&amp;N4)</f>
        <v>C 8/10 - OB* - 0 - 25 - 5 - 2 - 7</v>
      </c>
      <c r="C1" s="341"/>
      <c r="D1" s="341"/>
      <c r="E1" s="341"/>
      <c r="F1" s="341"/>
      <c r="G1" s="341"/>
      <c r="H1" s="341"/>
      <c r="I1" s="341"/>
      <c r="J1" s="341"/>
      <c r="K1" s="1" t="s">
        <v>1</v>
      </c>
      <c r="L1" s="342">
        <v>100</v>
      </c>
      <c r="M1" s="343"/>
      <c r="N1" s="343"/>
      <c r="O1" s="2"/>
      <c r="P1" s="2"/>
      <c r="Q1" s="3" t="s">
        <v>2</v>
      </c>
      <c r="R1" s="3" t="s">
        <v>3</v>
      </c>
      <c r="S1" s="3" t="s">
        <v>4</v>
      </c>
      <c r="T1" s="4" t="s">
        <v>5</v>
      </c>
      <c r="U1" s="5"/>
      <c r="AQ1" s="7"/>
      <c r="EK1" s="6"/>
    </row>
    <row r="2" spans="1:141" s="7" customFormat="1" ht="15.75" customHeight="1" x14ac:dyDescent="0.35">
      <c r="A2" s="8" t="s">
        <v>6</v>
      </c>
      <c r="B2" s="9">
        <v>44927</v>
      </c>
      <c r="C2" s="325" t="s">
        <v>7</v>
      </c>
      <c r="D2" s="344"/>
      <c r="E2" s="10">
        <v>1</v>
      </c>
      <c r="F2" s="325" t="s">
        <v>8</v>
      </c>
      <c r="G2" s="345"/>
      <c r="H2" s="327">
        <v>1</v>
      </c>
      <c r="I2" s="336"/>
      <c r="J2" s="325" t="s">
        <v>9</v>
      </c>
      <c r="K2" s="346"/>
      <c r="L2" s="10">
        <v>10</v>
      </c>
      <c r="M2" s="12" t="s">
        <v>10</v>
      </c>
      <c r="N2" s="13" t="s">
        <v>192</v>
      </c>
      <c r="O2" s="3" t="s">
        <v>11</v>
      </c>
      <c r="P2" s="4" t="s">
        <v>12</v>
      </c>
      <c r="Q2" s="14">
        <f>VLOOKUP(P2,'[13]input diverse'!L34:P42,2,FALSE)</f>
        <v>180</v>
      </c>
      <c r="R2" s="14">
        <f>VLOOKUP(P2,'[13]input diverse'!L34:P42,3,FALSE)</f>
        <v>175</v>
      </c>
      <c r="S2" s="14">
        <f>VLOOKUP(P2,'[13]input diverse'!L34:P42,4,FALSE)</f>
        <v>0</v>
      </c>
      <c r="T2" s="15">
        <f>VLOOKUP(P2,'[13]input diverse'!L34:P42,5,FALSE)</f>
        <v>0</v>
      </c>
      <c r="U2" s="16"/>
    </row>
    <row r="3" spans="1:141" ht="15.75" customHeight="1" x14ac:dyDescent="0.35">
      <c r="A3" s="8" t="s">
        <v>13</v>
      </c>
      <c r="B3" s="10" t="s">
        <v>190</v>
      </c>
      <c r="C3" s="325" t="s">
        <v>14</v>
      </c>
      <c r="D3" s="335"/>
      <c r="E3" s="11">
        <v>0</v>
      </c>
      <c r="F3" s="325" t="s">
        <v>15</v>
      </c>
      <c r="G3" s="326"/>
      <c r="H3" s="327">
        <v>5</v>
      </c>
      <c r="I3" s="336"/>
      <c r="J3" s="325" t="s">
        <v>16</v>
      </c>
      <c r="K3" s="326"/>
      <c r="L3" s="17" t="e">
        <f>IF(E3="","",VLOOKUP($E$3,'[14]input diverse'!I3:K27,3,FALSE))</f>
        <v>#N/A</v>
      </c>
      <c r="M3" s="12" t="s">
        <v>17</v>
      </c>
      <c r="N3" s="18">
        <v>14</v>
      </c>
      <c r="O3" s="2"/>
      <c r="P3" s="2"/>
      <c r="Q3" s="19" t="e">
        <f>IF($B$2="","",IF(R27&lt;Q2,"NCF","CF"))</f>
        <v>#VALUE!</v>
      </c>
      <c r="R3" s="19" t="str">
        <f>IF($B$2="","",IF(K31&lt;R2,"NCF","CF"))</f>
        <v>NCF</v>
      </c>
      <c r="S3" s="19" t="str">
        <f>IF($B$2="","",IF(Q31&lt;S2,"NCF","CF"))</f>
        <v>CF</v>
      </c>
      <c r="T3" s="20" t="str">
        <f>IF($B$2="","",IF(Q33&lt;T2,"NCF","CF"))</f>
        <v>CF</v>
      </c>
      <c r="U3" s="5"/>
      <c r="AQ3" s="7"/>
      <c r="AT3" s="329" t="s">
        <v>18</v>
      </c>
      <c r="AU3" s="330"/>
      <c r="AV3" s="331"/>
      <c r="AW3" s="333" t="s">
        <v>19</v>
      </c>
      <c r="AX3" s="329" t="s">
        <v>20</v>
      </c>
      <c r="AY3" s="330"/>
      <c r="AZ3" s="330"/>
      <c r="BA3" s="331"/>
      <c r="BB3" s="329" t="s">
        <v>21</v>
      </c>
      <c r="BC3" s="330"/>
      <c r="BD3" s="332"/>
      <c r="BE3" s="331"/>
      <c r="BF3" s="333" t="s">
        <v>22</v>
      </c>
      <c r="BG3" s="333" t="s">
        <v>23</v>
      </c>
      <c r="BM3" s="21"/>
      <c r="EK3" s="6"/>
    </row>
    <row r="4" spans="1:141" ht="15.75" customHeight="1" x14ac:dyDescent="0.35">
      <c r="A4" s="8" t="s">
        <v>24</v>
      </c>
      <c r="B4" s="10" t="s">
        <v>191</v>
      </c>
      <c r="C4" s="325" t="s">
        <v>25</v>
      </c>
      <c r="D4" s="335"/>
      <c r="E4" s="11">
        <v>25</v>
      </c>
      <c r="F4" s="325" t="s">
        <v>26</v>
      </c>
      <c r="G4" s="326"/>
      <c r="H4" s="327">
        <v>2</v>
      </c>
      <c r="I4" s="336"/>
      <c r="J4" s="325" t="s">
        <v>27</v>
      </c>
      <c r="K4" s="326"/>
      <c r="L4" s="10">
        <v>2</v>
      </c>
      <c r="M4" s="12" t="s">
        <v>28</v>
      </c>
      <c r="N4" s="18">
        <v>7</v>
      </c>
      <c r="O4" s="5"/>
      <c r="P4" s="5"/>
      <c r="Q4" s="5"/>
      <c r="R4" s="5"/>
      <c r="S4" s="5"/>
      <c r="T4" s="5"/>
      <c r="U4" s="5"/>
      <c r="AQ4" s="7"/>
      <c r="AT4" s="337" t="s">
        <v>29</v>
      </c>
      <c r="AU4" s="338"/>
      <c r="AV4" s="339"/>
      <c r="AW4" s="334"/>
      <c r="AX4" s="22" t="s">
        <v>30</v>
      </c>
      <c r="AY4" s="22" t="s">
        <v>19</v>
      </c>
      <c r="AZ4" s="22" t="s">
        <v>31</v>
      </c>
      <c r="BA4" s="22" t="s">
        <v>19</v>
      </c>
      <c r="BB4" s="22" t="s">
        <v>30</v>
      </c>
      <c r="BC4" s="22" t="s">
        <v>19</v>
      </c>
      <c r="BD4" s="22" t="s">
        <v>31</v>
      </c>
      <c r="BE4" s="22" t="s">
        <v>19</v>
      </c>
      <c r="BF4" s="334"/>
      <c r="BG4" s="334"/>
      <c r="BM4" s="21"/>
      <c r="EK4" s="6"/>
    </row>
    <row r="5" spans="1:141" ht="15.75" customHeight="1" x14ac:dyDescent="0.35">
      <c r="A5" s="8" t="s">
        <v>32</v>
      </c>
      <c r="B5" s="23">
        <v>0.5</v>
      </c>
      <c r="C5" s="24" t="str">
        <f>IF($B$5="","",IF(B5&gt;H5,"NCF",IF(B5&lt;=H5,"CF")))</f>
        <v>CF</v>
      </c>
      <c r="D5" s="25" t="s">
        <v>33</v>
      </c>
      <c r="E5" s="26">
        <v>0.02</v>
      </c>
      <c r="F5" s="321" t="s">
        <v>34</v>
      </c>
      <c r="G5" s="322"/>
      <c r="H5" s="323">
        <v>0.5</v>
      </c>
      <c r="I5" s="323"/>
      <c r="J5" s="324"/>
      <c r="K5" s="324"/>
      <c r="L5" s="324"/>
      <c r="M5" s="324"/>
      <c r="N5" s="324"/>
      <c r="O5" s="5"/>
      <c r="P5" s="5"/>
      <c r="Q5" s="5"/>
      <c r="R5" s="5"/>
      <c r="S5" s="5"/>
      <c r="T5" s="5"/>
      <c r="U5" s="5"/>
      <c r="AQ5" s="7"/>
      <c r="AT5" s="289" t="str">
        <f>IF(A11="","",A11)</f>
        <v>CEM III/B 42,5 N LH/SR - VVM nv. - Gent</v>
      </c>
      <c r="AU5" s="290"/>
      <c r="AV5" s="291"/>
      <c r="AW5" s="30" t="str">
        <f>IF(B37="","",B37)</f>
        <v/>
      </c>
      <c r="AX5" s="31">
        <f>VLOOKUP($AT$5,'[13]input cement'!$B4:$R19,7,0)</f>
        <v>1E-3</v>
      </c>
      <c r="AY5" s="32" t="str">
        <f>IF(AW5="","",AW5*AX5)</f>
        <v/>
      </c>
      <c r="AZ5" s="32">
        <f>VLOOKUP($AT$5,'[13]input cement'!$B4:$R30,8,0)</f>
        <v>0</v>
      </c>
      <c r="BA5" s="32" t="str">
        <f>IF(AW5="","",AW5*(AZ5/1000))</f>
        <v/>
      </c>
      <c r="BB5" s="31">
        <f>VLOOKUP($AT$5,'[13]input cement'!$B4:$R28,9,0)</f>
        <v>1.2999999999999999E-2</v>
      </c>
      <c r="BC5" s="32" t="str">
        <f>IF(AW5="","",AW5*BB5)</f>
        <v/>
      </c>
      <c r="BD5" s="32">
        <f>VLOOKUP($AT$5,'[13]input cement'!$B4:$R28,10,0)</f>
        <v>0</v>
      </c>
      <c r="BE5" s="32" t="str">
        <f>IF(AW5="","",AW5*(BD5/1000))</f>
        <v/>
      </c>
      <c r="BF5" s="33">
        <f>IF($AT$5="",0,VLOOKUP($AT$5,'[13]input cement'!$B4:$Q30,12,0))</f>
        <v>0.16250000000000001</v>
      </c>
      <c r="BG5" s="34" t="str">
        <f>IF(AW5="","",AW5*BF5)</f>
        <v/>
      </c>
      <c r="BI5" s="312" t="s">
        <v>35</v>
      </c>
      <c r="BJ5" s="313"/>
      <c r="BK5" s="313"/>
      <c r="BL5" s="313"/>
      <c r="BM5" s="37" t="e">
        <f>N15</f>
        <v>#VALUE!</v>
      </c>
      <c r="EK5" s="6"/>
    </row>
    <row r="6" spans="1:141" ht="22" x14ac:dyDescent="0.8">
      <c r="A6" s="325" t="s">
        <v>36</v>
      </c>
      <c r="B6" s="38"/>
      <c r="C6" s="39"/>
      <c r="D6" s="39"/>
      <c r="E6" s="39"/>
      <c r="F6" s="39"/>
      <c r="G6" s="39"/>
      <c r="H6" s="39"/>
      <c r="I6" s="39"/>
      <c r="J6" s="39"/>
      <c r="K6" s="39"/>
      <c r="L6" s="39"/>
      <c r="M6" s="39"/>
      <c r="N6" s="39"/>
      <c r="O6" s="5"/>
      <c r="P6" s="40" t="s">
        <v>37</v>
      </c>
      <c r="Q6" s="41"/>
      <c r="R6" s="5"/>
      <c r="S6" s="5"/>
      <c r="T6" s="5"/>
      <c r="U6" s="5"/>
      <c r="AQ6" s="7"/>
      <c r="AT6" s="27"/>
      <c r="AU6" s="28"/>
      <c r="AV6" s="29"/>
      <c r="AW6" s="30"/>
      <c r="AX6" s="31" t="e">
        <f>VLOOKUP($AT$6,'[13]input cement'!$B6:$R20,7,0)</f>
        <v>#N/A</v>
      </c>
      <c r="AY6" s="32"/>
      <c r="AZ6" s="32" t="e">
        <f>VLOOKUP($AT$6,'[13]input cement'!$B4:$R31,8,0)</f>
        <v>#N/A</v>
      </c>
      <c r="BA6" s="32"/>
      <c r="BB6" s="31" t="e">
        <f>VLOOKUP($AT$6,'[13]input cement'!$B5:$R29,9,0)</f>
        <v>#N/A</v>
      </c>
      <c r="BC6" s="32"/>
      <c r="BD6" s="32" t="e">
        <f>VLOOKUP($AT$6,'[13]input cement'!$B5:$R29,10,0)</f>
        <v>#N/A</v>
      </c>
      <c r="BE6" s="32"/>
      <c r="BF6" s="33">
        <f>IF($AT$6="",0,VLOOKUP($AT$6,'[13]input cement'!$B5:$Q31,12,0))</f>
        <v>0</v>
      </c>
      <c r="BG6" s="34"/>
      <c r="BI6" s="35"/>
      <c r="BJ6" s="36"/>
      <c r="BK6" s="36"/>
      <c r="BL6" s="36"/>
      <c r="BM6" s="37"/>
      <c r="EK6" s="6"/>
    </row>
    <row r="7" spans="1:141" x14ac:dyDescent="0.35">
      <c r="A7" s="326"/>
      <c r="B7" s="327"/>
      <c r="C7" s="328"/>
      <c r="D7" s="328"/>
      <c r="E7" s="328"/>
      <c r="F7" s="328"/>
      <c r="G7" s="328"/>
      <c r="H7" s="328"/>
      <c r="I7" s="328"/>
      <c r="J7" s="328"/>
      <c r="K7" s="328"/>
      <c r="L7" s="328"/>
      <c r="M7" s="328"/>
      <c r="N7" s="328"/>
      <c r="O7" s="5"/>
      <c r="P7" s="5"/>
      <c r="Q7" s="5"/>
      <c r="R7" s="5"/>
      <c r="S7" s="5"/>
      <c r="T7" s="5"/>
      <c r="U7" s="5"/>
      <c r="AQ7" s="7"/>
      <c r="AT7" s="27"/>
      <c r="AU7" s="28"/>
      <c r="AV7" s="29"/>
      <c r="AW7" s="30"/>
      <c r="AX7" s="31" t="e">
        <f>VLOOKUP($AT$7,'[13]input cement'!$B7:$R21,7,0)</f>
        <v>#N/A</v>
      </c>
      <c r="AY7" s="32"/>
      <c r="AZ7" s="32" t="e">
        <f>VLOOKUP($AT$7,'[13]input cement'!$B4:$R32,8,0)</f>
        <v>#N/A</v>
      </c>
      <c r="BA7" s="32"/>
      <c r="BB7" s="31" t="e">
        <f>VLOOKUP($AT$7,'[13]input cement'!$B6:$R30,9,0)</f>
        <v>#N/A</v>
      </c>
      <c r="BC7" s="32"/>
      <c r="BD7" s="32" t="e">
        <f>VLOOKUP($AT$7,'[13]input cement'!$B6:$R30,10,0)</f>
        <v>#N/A</v>
      </c>
      <c r="BE7" s="32"/>
      <c r="BF7" s="33">
        <f>IF($AT$7="",0,VLOOKUP($AT$7,'[13]input cement'!$B6:$Q32,12,0))</f>
        <v>0</v>
      </c>
      <c r="BG7" s="34"/>
      <c r="BI7" s="35"/>
      <c r="BJ7" s="36"/>
      <c r="BK7" s="36"/>
      <c r="BL7" s="36"/>
      <c r="BM7" s="37"/>
      <c r="EK7" s="6"/>
    </row>
    <row r="8" spans="1:141" ht="19.5" customHeight="1" x14ac:dyDescent="0.35">
      <c r="E8" s="42"/>
      <c r="F8" s="43"/>
      <c r="G8" s="43"/>
      <c r="H8" s="42"/>
      <c r="I8" s="42"/>
      <c r="J8" s="43"/>
      <c r="K8" s="43"/>
      <c r="L8" s="43"/>
      <c r="M8" s="21"/>
      <c r="AQ8" s="7"/>
      <c r="AT8" s="289" t="str">
        <f>IF(A12="","",A12)</f>
        <v/>
      </c>
      <c r="AU8" s="290"/>
      <c r="AV8" s="291"/>
      <c r="AW8" s="30" t="str">
        <f t="shared" ref="AW8:AW21" si="0">IF(B38="","",B38)</f>
        <v/>
      </c>
      <c r="AX8" s="31">
        <f>VLOOKUP($AT$8,'[13]input cement'!B5:O12,7,0)</f>
        <v>0</v>
      </c>
      <c r="AY8" s="32" t="str">
        <f t="shared" ref="AY8:AY22" si="1">IF(AW8="","",AW8*AX8)</f>
        <v/>
      </c>
      <c r="AZ8" s="32">
        <f>VLOOKUP($AT$8,'[13]input cement'!$B4:$R33,8,0)</f>
        <v>0</v>
      </c>
      <c r="BA8" s="32" t="str">
        <f t="shared" ref="BA8:BA22" si="2">IF(AW8="","",AW8*(AZ8/1000))</f>
        <v/>
      </c>
      <c r="BB8" s="31">
        <f>VLOOKUP($AT$8,'[13]input cement'!$B4:$R31,9,0)</f>
        <v>0</v>
      </c>
      <c r="BC8" s="32" t="str">
        <f t="shared" ref="BC8:BC22" si="3">IF(AW8="","",AW8*BB8)</f>
        <v/>
      </c>
      <c r="BD8" s="32">
        <f>VLOOKUP($AT$8,'[13]input cement'!$B4:$R31,10,0)</f>
        <v>0</v>
      </c>
      <c r="BE8" s="32" t="str">
        <f t="shared" ref="BE8:BE22" si="4">IF(AW8="","",AW8*(BD8/1000))</f>
        <v/>
      </c>
      <c r="BF8" s="33">
        <f>IF($AT$8="",0,VLOOKUP($AT$8,'[13]input cement'!$B7:$Q33,12,0))</f>
        <v>0</v>
      </c>
      <c r="BG8" s="34" t="str">
        <f t="shared" ref="BG8:BG22" si="5">IF(AW8="","",AW8*BF8)</f>
        <v/>
      </c>
      <c r="BI8" s="312" t="s">
        <v>38</v>
      </c>
      <c r="BJ8" s="313"/>
      <c r="BK8" s="313"/>
      <c r="BL8" s="313"/>
      <c r="BM8" s="37" t="e">
        <f>N16</f>
        <v>#VALUE!</v>
      </c>
      <c r="EK8" s="6"/>
    </row>
    <row r="9" spans="1:141" ht="15" customHeight="1" x14ac:dyDescent="0.35">
      <c r="A9" s="44"/>
      <c r="B9" s="45"/>
      <c r="C9" s="315"/>
      <c r="D9" s="316"/>
      <c r="E9" s="317" t="s">
        <v>39</v>
      </c>
      <c r="F9" s="272"/>
      <c r="G9" s="272"/>
      <c r="H9" s="317" t="s">
        <v>40</v>
      </c>
      <c r="I9" s="317"/>
      <c r="J9" s="272"/>
      <c r="K9" s="272"/>
      <c r="L9" s="272"/>
      <c r="M9" s="46" t="s">
        <v>41</v>
      </c>
      <c r="N9" s="47"/>
      <c r="O9" s="318" t="s">
        <v>42</v>
      </c>
      <c r="P9" s="319" t="s">
        <v>43</v>
      </c>
      <c r="AQ9" s="7"/>
      <c r="AT9" s="289" t="str">
        <f>IF(A13="","",A13)</f>
        <v/>
      </c>
      <c r="AU9" s="290"/>
      <c r="AV9" s="291"/>
      <c r="AW9" s="30" t="str">
        <f t="shared" si="0"/>
        <v/>
      </c>
      <c r="AX9" s="31">
        <f>VLOOKUP($AT$9,'[13]input cement'!B4:O28,7,0)</f>
        <v>0</v>
      </c>
      <c r="AY9" s="32" t="str">
        <f t="shared" si="1"/>
        <v/>
      </c>
      <c r="AZ9" s="32">
        <f>VLOOKUP($AT$9,'[13]input cement'!$B4:$R34,8,0)</f>
        <v>0</v>
      </c>
      <c r="BA9" s="32" t="str">
        <f t="shared" si="2"/>
        <v/>
      </c>
      <c r="BB9" s="31">
        <f>VLOOKUP($AT$9,'[13]input cement'!$B4:$R32,9,0)</f>
        <v>0</v>
      </c>
      <c r="BC9" s="32" t="str">
        <f t="shared" si="3"/>
        <v/>
      </c>
      <c r="BD9" s="32">
        <f>VLOOKUP($AT$9,'[13]input cement'!$B4:$R32,10,0)</f>
        <v>0</v>
      </c>
      <c r="BE9" s="32" t="str">
        <f t="shared" si="4"/>
        <v/>
      </c>
      <c r="BF9" s="33">
        <f>IF($AT$9="",0,VLOOKUP($AT$9,'[13]input cement'!$B8:$Q34,12,0))</f>
        <v>0</v>
      </c>
      <c r="BG9" s="34" t="str">
        <f t="shared" si="5"/>
        <v/>
      </c>
      <c r="BI9" s="312" t="s">
        <v>44</v>
      </c>
      <c r="BJ9" s="313"/>
      <c r="BK9" s="313"/>
      <c r="BL9" s="313"/>
      <c r="BM9" s="49" t="e">
        <f>IF($B$5="","",SUM($AY$23,$BA$23)/$AW$23)</f>
        <v>#VALUE!</v>
      </c>
      <c r="EK9" s="6"/>
    </row>
    <row r="10" spans="1:141" ht="43.5" customHeight="1" x14ac:dyDescent="0.35">
      <c r="A10" s="50" t="s">
        <v>45</v>
      </c>
      <c r="B10" s="51" t="s">
        <v>46</v>
      </c>
      <c r="C10" s="310" t="s">
        <v>47</v>
      </c>
      <c r="D10" s="320"/>
      <c r="E10" s="52" t="s">
        <v>48</v>
      </c>
      <c r="F10" s="52" t="s">
        <v>49</v>
      </c>
      <c r="G10" s="52" t="s">
        <v>50</v>
      </c>
      <c r="H10" s="308" t="s">
        <v>50</v>
      </c>
      <c r="I10" s="309"/>
      <c r="J10" s="52" t="s">
        <v>49</v>
      </c>
      <c r="K10" s="52" t="s">
        <v>51</v>
      </c>
      <c r="L10" s="52" t="s">
        <v>30</v>
      </c>
      <c r="M10" s="310" t="s">
        <v>52</v>
      </c>
      <c r="N10" s="311"/>
      <c r="O10" s="318"/>
      <c r="P10" s="319"/>
      <c r="Q10" s="53" t="s">
        <v>53</v>
      </c>
      <c r="R10" s="54" t="s">
        <v>54</v>
      </c>
      <c r="AQ10" s="7"/>
      <c r="AT10" s="289" t="str">
        <f>IF(A15="","",A15)</f>
        <v/>
      </c>
      <c r="AU10" s="290"/>
      <c r="AV10" s="291"/>
      <c r="AW10" s="30" t="str">
        <f t="shared" si="0"/>
        <v/>
      </c>
      <c r="AX10" s="31">
        <f>VLOOKUP($AT$10,'[13]input vulstof'!B4:O34,7,0)</f>
        <v>0</v>
      </c>
      <c r="AY10" s="32" t="str">
        <f t="shared" si="1"/>
        <v/>
      </c>
      <c r="AZ10" s="32">
        <f>VLOOKUP($AT$10,'[13]input vulstof'!B4:O34,8,0)</f>
        <v>0</v>
      </c>
      <c r="BA10" s="32" t="str">
        <f t="shared" si="2"/>
        <v/>
      </c>
      <c r="BB10" s="31">
        <f>VLOOKUP($AT$10,'[13]input vulstof'!B4:O34,9,0)</f>
        <v>0</v>
      </c>
      <c r="BC10" s="32" t="str">
        <f t="shared" si="3"/>
        <v/>
      </c>
      <c r="BD10" s="32">
        <f>VLOOKUP($AT$10,'[13]input vulstof'!B4:O36,10,0)</f>
        <v>0</v>
      </c>
      <c r="BE10" s="32" t="str">
        <f t="shared" si="4"/>
        <v/>
      </c>
      <c r="BF10" s="33">
        <f>IF(AT10="",0,VLOOKUP($AT$10,'[13]input vulstof'!B4:O35,12,0))</f>
        <v>0</v>
      </c>
      <c r="BG10" s="34" t="str">
        <f t="shared" si="5"/>
        <v/>
      </c>
      <c r="BI10" s="312" t="s">
        <v>55</v>
      </c>
      <c r="BJ10" s="313"/>
      <c r="BK10" s="313"/>
      <c r="BL10" s="313"/>
      <c r="BM10" s="55" t="e">
        <f>SUM($BC$23,$BE$23)</f>
        <v>#VALUE!</v>
      </c>
      <c r="EK10" s="6"/>
    </row>
    <row r="11" spans="1:141" x14ac:dyDescent="0.35">
      <c r="A11" s="2" t="s">
        <v>193</v>
      </c>
      <c r="B11" s="56">
        <f>IF($B$2="","",IF(A11="","",VLOOKUP(A11,'[13]input cement'!B4:U25,5,0)))</f>
        <v>2980</v>
      </c>
      <c r="C11" s="305"/>
      <c r="D11" s="306"/>
      <c r="E11" s="57"/>
      <c r="F11" s="58"/>
      <c r="G11" s="30" t="str">
        <f>IF($B$2="","",IF(E11="","",(E11/B11)*1000))</f>
        <v/>
      </c>
      <c r="H11" s="30" t="str">
        <f t="shared" ref="H11:I13" si="6">IF(G11="","",G11)</f>
        <v/>
      </c>
      <c r="I11" s="30" t="str">
        <f t="shared" si="6"/>
        <v/>
      </c>
      <c r="J11" s="59" t="str">
        <f>IF($B$2="","",IF(E11="","",(I11*B11)/1000))</f>
        <v/>
      </c>
      <c r="K11" s="30" t="str">
        <f>IF($B$2="","",IF(E11="","",J11))</f>
        <v/>
      </c>
      <c r="L11" s="60" t="str">
        <f>IF($B$2="","",IF(E11="","",K11/$J$33))</f>
        <v/>
      </c>
      <c r="M11" s="303"/>
      <c r="N11" s="304"/>
      <c r="O11" s="61">
        <f>VLOOKUP(A11,'[13]input diverse'!A98:B132,2,FALSE)</f>
        <v>0.24299999999999999</v>
      </c>
      <c r="P11" s="62" t="str">
        <f>IF($B$2="","",IF(I11="","",(J11*O11)))</f>
        <v/>
      </c>
      <c r="Q11" s="63">
        <v>1</v>
      </c>
      <c r="R11" s="62" t="str">
        <f>IF($B$2="","",IF(I11="","",(I11*Q11)))</f>
        <v/>
      </c>
      <c r="V11" s="314" t="s">
        <v>56</v>
      </c>
      <c r="W11" s="314"/>
      <c r="AQ11" s="7"/>
      <c r="AT11" s="289" t="str">
        <f>IF(A16="","",A16)</f>
        <v>kalksteenfiller</v>
      </c>
      <c r="AU11" s="290"/>
      <c r="AV11" s="291"/>
      <c r="AW11" s="30" t="str">
        <f t="shared" si="0"/>
        <v/>
      </c>
      <c r="AX11" s="31">
        <f>VLOOKUP($AT$11,'[13]input vulstof'!B4:O18,7,0)</f>
        <v>1.4999999999999999E-4</v>
      </c>
      <c r="AY11" s="32" t="str">
        <f t="shared" si="1"/>
        <v/>
      </c>
      <c r="AZ11" s="32">
        <f>VLOOKUP($AT$11,'[13]input vulstof'!B4:O35,8,0)</f>
        <v>0</v>
      </c>
      <c r="BA11" s="32" t="str">
        <f t="shared" si="2"/>
        <v/>
      </c>
      <c r="BB11" s="31">
        <f>VLOOKUP($AT$11,'[13]input vulstof'!B4:O39,9,0)</f>
        <v>1E-4</v>
      </c>
      <c r="BC11" s="32" t="str">
        <f t="shared" si="3"/>
        <v/>
      </c>
      <c r="BD11" s="32">
        <f>VLOOKUP($AT$11,'[13]input vulstof'!B4:O32,10,0)</f>
        <v>0</v>
      </c>
      <c r="BE11" s="32" t="str">
        <f t="shared" si="4"/>
        <v/>
      </c>
      <c r="BF11" s="33">
        <f>IF(AT11="",0,VLOOKUP($AT$11,'[13]input vulstof'!B4:O35,12,0))</f>
        <v>6.9000000000000006E-2</v>
      </c>
      <c r="BG11" s="34" t="str">
        <f t="shared" si="5"/>
        <v/>
      </c>
      <c r="BI11" s="312" t="s">
        <v>57</v>
      </c>
      <c r="BJ11" s="313"/>
      <c r="BK11" s="313"/>
      <c r="BL11" s="313"/>
      <c r="BM11" s="64" t="e">
        <f>$BG$23</f>
        <v>#VALUE!</v>
      </c>
      <c r="EK11" s="6"/>
    </row>
    <row r="12" spans="1:141" ht="15" customHeight="1" x14ac:dyDescent="0.35">
      <c r="A12" s="2"/>
      <c r="B12" s="56" t="str">
        <f>IF($B$2="","",IF(A12="","",VLOOKUP(A12,'[13]input cement'!B5:U26,5,0)))</f>
        <v/>
      </c>
      <c r="C12" s="305"/>
      <c r="D12" s="306"/>
      <c r="E12" s="57"/>
      <c r="F12" s="58"/>
      <c r="G12" s="30" t="str">
        <f>IF($B$2="","",IF(E12="","",(E12/B12)*1000))</f>
        <v/>
      </c>
      <c r="H12" s="30" t="str">
        <f t="shared" si="6"/>
        <v/>
      </c>
      <c r="I12" s="30" t="str">
        <f t="shared" si="6"/>
        <v/>
      </c>
      <c r="J12" s="59" t="str">
        <f>IF($B$2="","",IF(E12="","",(I12*B12)/1000))</f>
        <v/>
      </c>
      <c r="K12" s="30" t="str">
        <f>IF($B$2="","",IF(E12="","",J12))</f>
        <v/>
      </c>
      <c r="L12" s="60" t="str">
        <f>IF($B$2="","",IF(E12="","",K12/$J$33))</f>
        <v/>
      </c>
      <c r="M12" s="303"/>
      <c r="N12" s="304"/>
      <c r="O12" s="61" t="e">
        <f>VLOOKUP(A12,'[13]input diverse'!A98:B133,2,FALSE)</f>
        <v>#N/A</v>
      </c>
      <c r="P12" s="62" t="str">
        <f>IF($B$2="","",IF(I12="","",(J12*O12)))</f>
        <v/>
      </c>
      <c r="Q12" s="63">
        <v>1</v>
      </c>
      <c r="R12" s="62" t="str">
        <f>IF($B$2="","",IF(I12="","",(I12*Q12)))</f>
        <v/>
      </c>
      <c r="V12" s="307" t="s">
        <v>12</v>
      </c>
      <c r="W12" s="307"/>
      <c r="AQ12" s="7"/>
      <c r="AT12" s="289" t="str">
        <f>IF(A17="","",A17)</f>
        <v/>
      </c>
      <c r="AU12" s="290"/>
      <c r="AV12" s="291"/>
      <c r="AW12" s="30" t="str">
        <f t="shared" si="0"/>
        <v/>
      </c>
      <c r="AX12" s="31" t="e">
        <f>VLOOKUP($AT$12,'[14]input vulstof'!$B$4:$N$53,7,0)</f>
        <v>#REF!</v>
      </c>
      <c r="AY12" s="32" t="str">
        <f t="shared" si="1"/>
        <v/>
      </c>
      <c r="AZ12" s="32" t="e">
        <f>VLOOKUP($AT$12,'[14]input vulstof'!$B$4:$N$53,8,0)</f>
        <v>#REF!</v>
      </c>
      <c r="BA12" s="32" t="str">
        <f t="shared" si="2"/>
        <v/>
      </c>
      <c r="BB12" s="31">
        <f>VLOOKUP($AT$12,'[13]input vulstof'!B4:O25,9,0)</f>
        <v>0</v>
      </c>
      <c r="BC12" s="32" t="str">
        <f t="shared" si="3"/>
        <v/>
      </c>
      <c r="BD12" s="32" t="e">
        <f>VLOOKUP($AT$12,'[14]input vulstof'!$B$4:$N$53,10,0)</f>
        <v>#REF!</v>
      </c>
      <c r="BE12" s="32" t="str">
        <f t="shared" si="4"/>
        <v/>
      </c>
      <c r="BF12" s="33">
        <f>IF(AT12="",0,VLOOKUP($AT$12,'[14]input vulstof'!$B$4:$N$53,12,0))</f>
        <v>0</v>
      </c>
      <c r="BG12" s="34" t="str">
        <f t="shared" si="5"/>
        <v/>
      </c>
      <c r="EK12" s="6"/>
    </row>
    <row r="13" spans="1:141" ht="20" x14ac:dyDescent="0.4">
      <c r="A13" s="2"/>
      <c r="B13" s="56" t="str">
        <f>IF($B$2="","",IF(A13="","",VLOOKUP(A13,'[13]input cement'!B5:U27,5,0)))</f>
        <v/>
      </c>
      <c r="C13" s="305"/>
      <c r="D13" s="306"/>
      <c r="E13" s="57"/>
      <c r="F13" s="58"/>
      <c r="G13" s="30" t="str">
        <f>IF($B$2="","",IF(E13="","",(E13/B13)*1000))</f>
        <v/>
      </c>
      <c r="H13" s="30" t="str">
        <f t="shared" si="6"/>
        <v/>
      </c>
      <c r="I13" s="30" t="str">
        <f t="shared" si="6"/>
        <v/>
      </c>
      <c r="J13" s="59" t="str">
        <f>IF($B$2="","",IF(E13="","",(I13*B13)/1000))</f>
        <v/>
      </c>
      <c r="K13" s="30" t="str">
        <f>IF($B$2="","",IF(E13="","",J13))</f>
        <v/>
      </c>
      <c r="L13" s="60" t="str">
        <f>IF($B$2="","",IF(E13="","",K13/$J$33))</f>
        <v/>
      </c>
      <c r="M13" s="303"/>
      <c r="N13" s="304"/>
      <c r="O13" s="61" t="e">
        <f>VLOOKUP(A13,'[13]input diverse'!A98:B134,2,FALSE)</f>
        <v>#N/A</v>
      </c>
      <c r="P13" s="62" t="str">
        <f>IF($B$2="","",IF(I13="","",(J13*O13)))</f>
        <v/>
      </c>
      <c r="Q13" s="63">
        <v>1</v>
      </c>
      <c r="R13" s="62" t="str">
        <f>IF($B$2="","",IF(I13="","",(I13*Q13)))</f>
        <v/>
      </c>
      <c r="U13" s="65" t="s">
        <v>58</v>
      </c>
      <c r="V13" s="66">
        <f>VLOOKUP(V12,A185:E197,3,0)</f>
        <v>0.41499999999999998</v>
      </c>
      <c r="W13" s="66">
        <f>VLOOKUP(V12,A185:E207,5,0)</f>
        <v>0.58499999999999996</v>
      </c>
      <c r="AQ13" s="7"/>
      <c r="AT13" s="289" t="str">
        <f>IF(A19="","",A19)</f>
        <v>grof gebroken kalksteengranulaat 2/6 Ca4a I f2 NG</v>
      </c>
      <c r="AU13" s="290"/>
      <c r="AV13" s="291"/>
      <c r="AW13" s="30" t="e">
        <f t="shared" si="0"/>
        <v>#VALUE!</v>
      </c>
      <c r="AX13" s="31">
        <f>VLOOKUP($AT$13,'[13]input granulaat'!$B4:$O28,7,0)</f>
        <v>1E-4</v>
      </c>
      <c r="AY13" s="32" t="e">
        <f t="shared" si="1"/>
        <v>#VALUE!</v>
      </c>
      <c r="AZ13" s="32">
        <f>VLOOKUP($AT$13,'[13]input granulaat'!$B4:$O27,8,0)</f>
        <v>0</v>
      </c>
      <c r="BA13" s="32" t="e">
        <f t="shared" si="2"/>
        <v>#VALUE!</v>
      </c>
      <c r="BB13" s="31">
        <f>VLOOKUP($AT$13,'[13]input granulaat'!$B4:$O28,9,0)</f>
        <v>1E-4</v>
      </c>
      <c r="BC13" s="32" t="e">
        <f t="shared" si="3"/>
        <v>#VALUE!</v>
      </c>
      <c r="BD13" s="32">
        <f>VLOOKUP($AT$13,'[13]input granulaat'!$B4:$O29,10,0)</f>
        <v>0</v>
      </c>
      <c r="BE13" s="32" t="e">
        <f t="shared" si="4"/>
        <v>#VALUE!</v>
      </c>
      <c r="BF13" s="67">
        <f>IF(AT13="",0,VLOOKUP($AT$13,'[13]input granulaat'!$B4:$O31,12,0))</f>
        <v>2.5649999999999999E-2</v>
      </c>
      <c r="BG13" s="34" t="e">
        <f t="shared" si="5"/>
        <v>#VALUE!</v>
      </c>
      <c r="EK13" s="6"/>
    </row>
    <row r="14" spans="1:141" x14ac:dyDescent="0.35">
      <c r="A14" s="68" t="s">
        <v>59</v>
      </c>
      <c r="B14" s="56"/>
      <c r="C14" s="301" t="s">
        <v>60</v>
      </c>
      <c r="D14" s="302"/>
      <c r="E14" s="69"/>
      <c r="F14" s="70" t="s">
        <v>61</v>
      </c>
      <c r="G14" s="58"/>
      <c r="H14" s="30"/>
      <c r="I14" s="30"/>
      <c r="J14" s="71"/>
      <c r="K14" s="58"/>
      <c r="L14" s="58"/>
      <c r="M14" s="303"/>
      <c r="N14" s="304"/>
      <c r="O14" s="61"/>
      <c r="P14" s="62"/>
      <c r="Q14" s="63"/>
      <c r="R14" s="62"/>
      <c r="AQ14" s="7"/>
      <c r="AT14" s="289" t="str">
        <f>IF(A20="","",A20)</f>
        <v/>
      </c>
      <c r="AU14" s="290"/>
      <c r="AV14" s="291"/>
      <c r="AW14" s="30" t="str">
        <f t="shared" si="0"/>
        <v/>
      </c>
      <c r="AX14" s="31">
        <f>VLOOKUP($AT$14,'[13]input granulaat'!B3:O39,7,0)</f>
        <v>0</v>
      </c>
      <c r="AY14" s="32" t="str">
        <f t="shared" si="1"/>
        <v/>
      </c>
      <c r="AZ14" s="32">
        <f>VLOOKUP($AT$14,'[13]input granulaat'!B3:O40,8,0)</f>
        <v>0</v>
      </c>
      <c r="BA14" s="32" t="str">
        <f t="shared" si="2"/>
        <v/>
      </c>
      <c r="BB14" s="31">
        <f>VLOOKUP($AT$14,'[13]input granulaat'!B3:O40,9,0)</f>
        <v>0</v>
      </c>
      <c r="BC14" s="32" t="str">
        <f t="shared" si="3"/>
        <v/>
      </c>
      <c r="BD14" s="32">
        <f>VLOOKUP($AT$14,'[13]input granulaat'!B3:O36,10,0)</f>
        <v>0</v>
      </c>
      <c r="BE14" s="32" t="str">
        <f t="shared" si="4"/>
        <v/>
      </c>
      <c r="BF14" s="33">
        <f>IF(AT14="",0,VLOOKUP($AT$14,'[13]input granulaat'!B3:O39,12,0))</f>
        <v>0</v>
      </c>
      <c r="BG14" s="34" t="str">
        <f t="shared" si="5"/>
        <v/>
      </c>
      <c r="EK14" s="6"/>
    </row>
    <row r="15" spans="1:141" x14ac:dyDescent="0.35">
      <c r="A15" s="2"/>
      <c r="B15" s="56" t="str">
        <f>IF($B$2="","",IF(A15="","",VLOOKUP(A15,'[13]input vulstof'!B4:O39,5,0)))</f>
        <v/>
      </c>
      <c r="C15" s="299">
        <v>1</v>
      </c>
      <c r="D15" s="300"/>
      <c r="E15" s="57"/>
      <c r="F15" s="30">
        <f>IF($B$2="","",IF(C15="","",C15*E15))</f>
        <v>0</v>
      </c>
      <c r="G15" s="30" t="str">
        <f>IF($B$2="","",IF(E15="","",(E15/B15)*1000))</f>
        <v/>
      </c>
      <c r="H15" s="30" t="str">
        <f t="shared" ref="H15:I17" si="7">IF(G15="","",G15)</f>
        <v/>
      </c>
      <c r="I15" s="30" t="str">
        <f t="shared" si="7"/>
        <v/>
      </c>
      <c r="J15" s="59" t="str">
        <f>IF($B$2="","",IF(E15="","",(I15*B15)/1000))</f>
        <v/>
      </c>
      <c r="K15" s="30" t="str">
        <f>IF($B$2="","",IF(E15="","",J15))</f>
        <v/>
      </c>
      <c r="L15" s="60" t="str">
        <f>IF($B$2="","",IF(E15="","",K15/$J$33))</f>
        <v/>
      </c>
      <c r="M15" s="72" t="s">
        <v>35</v>
      </c>
      <c r="N15" s="73" t="e">
        <f>IF($B$2="","",SUM($M$19:$M$21))</f>
        <v>#VALUE!</v>
      </c>
      <c r="O15" s="61" t="e">
        <f>VLOOKUP(A15,'[13]input diverse'!A98:B124,2,FALSE)</f>
        <v>#N/A</v>
      </c>
      <c r="P15" s="62" t="str">
        <f>IF($B$2="","",IF(I15="","",(J15*O15)))</f>
        <v/>
      </c>
      <c r="Q15" s="63">
        <v>1</v>
      </c>
      <c r="R15" s="62" t="str">
        <f>IF($B$2="","",IF(I15="","",(I15*Q15)))</f>
        <v/>
      </c>
      <c r="AQ15" s="7"/>
      <c r="AT15" s="289" t="str">
        <f>IF(A21="","",A21)</f>
        <v/>
      </c>
      <c r="AU15" s="290"/>
      <c r="AV15" s="291"/>
      <c r="AW15" s="30" t="str">
        <f t="shared" si="0"/>
        <v/>
      </c>
      <c r="AX15" s="31">
        <f>VLOOKUP($AT$15,'[13]input granulaat'!B4:O40,7,0)</f>
        <v>0</v>
      </c>
      <c r="AY15" s="32" t="str">
        <f t="shared" si="1"/>
        <v/>
      </c>
      <c r="AZ15" s="32">
        <f>VLOOKUP($AT$15,'[13]input granulaat'!B4:O41,8,0)</f>
        <v>0</v>
      </c>
      <c r="BA15" s="32" t="str">
        <f t="shared" si="2"/>
        <v/>
      </c>
      <c r="BB15" s="31">
        <f>VLOOKUP($AT$15,'[13]input granulaat'!B4:O41,9,0)</f>
        <v>0</v>
      </c>
      <c r="BC15" s="32" t="str">
        <f t="shared" si="3"/>
        <v/>
      </c>
      <c r="BD15" s="32">
        <f>VLOOKUP($AT$15,'[13]input granulaat'!B4:O37,10,0)</f>
        <v>0</v>
      </c>
      <c r="BE15" s="32" t="str">
        <f t="shared" si="4"/>
        <v/>
      </c>
      <c r="BF15" s="33">
        <f>IF(AT15="",0,VLOOKUP($AT$15,'[13]input granulaat'!B4:O40,12,0))</f>
        <v>0</v>
      </c>
      <c r="BG15" s="34" t="str">
        <f t="shared" si="5"/>
        <v/>
      </c>
      <c r="EK15" s="6"/>
    </row>
    <row r="16" spans="1:141" x14ac:dyDescent="0.35">
      <c r="A16" s="2" t="s">
        <v>194</v>
      </c>
      <c r="B16" s="56">
        <f>IF($B$2="","",IF(A16="","",VLOOKUP(A16,'[13]input vulstof'!B4:O33,5,0)))</f>
        <v>2720</v>
      </c>
      <c r="C16" s="299">
        <v>0</v>
      </c>
      <c r="D16" s="300"/>
      <c r="E16" s="57"/>
      <c r="F16" s="30">
        <f>IF($B$2="","",IF(C16="","",C16*E16))</f>
        <v>0</v>
      </c>
      <c r="G16" s="30" t="str">
        <f>IF($B$2="","",IF(E16="","",(E16/B16)*1000))</f>
        <v/>
      </c>
      <c r="H16" s="30" t="str">
        <f t="shared" si="7"/>
        <v/>
      </c>
      <c r="I16" s="30" t="str">
        <f t="shared" si="7"/>
        <v/>
      </c>
      <c r="J16" s="59" t="str">
        <f>IF($B$2="","",IF(E16="","",(I16*B16)/1000))</f>
        <v/>
      </c>
      <c r="K16" s="30" t="str">
        <f>IF($B$2="","",IF(E16="","",J16))</f>
        <v/>
      </c>
      <c r="L16" s="60" t="str">
        <f>IF($B$2="","",IF(E16="","",K16/$J$33))</f>
        <v/>
      </c>
      <c r="M16" s="72" t="s">
        <v>38</v>
      </c>
      <c r="N16" s="73" t="e">
        <f>IF($B$2="","",SUM($M$23:$M$25))</f>
        <v>#VALUE!</v>
      </c>
      <c r="O16" s="61">
        <f>VLOOKUP(A16,'[13]input diverse'!A99:B125,2,FALSE)</f>
        <v>0.255</v>
      </c>
      <c r="P16" s="62" t="str">
        <f>IF($B$2="","",IF(I16="","",(J16*O16)))</f>
        <v/>
      </c>
      <c r="Q16" s="63">
        <v>1</v>
      </c>
      <c r="R16" s="62" t="str">
        <f>IF($B$2="","",IF(I16="","",(I16*Q16)))</f>
        <v/>
      </c>
      <c r="AQ16" s="7"/>
      <c r="AT16" s="289" t="str">
        <f>IF(A23="","",A23)</f>
        <v/>
      </c>
      <c r="AU16" s="290"/>
      <c r="AV16" s="291"/>
      <c r="AW16" s="30" t="str">
        <f t="shared" si="0"/>
        <v/>
      </c>
      <c r="AX16" s="31">
        <f>VLOOKUP($AT$16,'[13]input granulaat'!$B7:$O31,7,0)</f>
        <v>0</v>
      </c>
      <c r="AY16" s="32" t="str">
        <f t="shared" si="1"/>
        <v/>
      </c>
      <c r="AZ16" s="32">
        <f>VLOOKUP($AT$16,'[13]input granulaat'!$B7:$O30,8,0)</f>
        <v>0</v>
      </c>
      <c r="BA16" s="32" t="str">
        <f t="shared" si="2"/>
        <v/>
      </c>
      <c r="BB16" s="31">
        <f>VLOOKUP($AT$16,'[13]input granulaat'!$B7:$O31,9,0)</f>
        <v>0</v>
      </c>
      <c r="BC16" s="32" t="str">
        <f t="shared" si="3"/>
        <v/>
      </c>
      <c r="BD16" s="32">
        <f>VLOOKUP($AT$16,'[13]input granulaat'!$B7:$O32,10,0)</f>
        <v>0</v>
      </c>
      <c r="BE16" s="32" t="str">
        <f t="shared" si="4"/>
        <v/>
      </c>
      <c r="BF16" s="33">
        <f>IF(AT16="",0,VLOOKUP($AT$16,'[13]input granulaat'!$B7:$O34,12,0))</f>
        <v>0</v>
      </c>
      <c r="BG16" s="34" t="str">
        <f t="shared" si="5"/>
        <v/>
      </c>
      <c r="EK16" s="6"/>
    </row>
    <row r="17" spans="1:141" x14ac:dyDescent="0.35">
      <c r="A17" s="2"/>
      <c r="B17" s="56" t="str">
        <f>IF($B$2="","",IF(A17="","",VLOOKUP(A17,'[14]input vulstof'!$B$4:$N$53,5,0)))</f>
        <v/>
      </c>
      <c r="C17" s="299"/>
      <c r="D17" s="300"/>
      <c r="E17" s="57"/>
      <c r="F17" s="30" t="str">
        <f>IF($B$2="","",IF(C17="","",C17*E17))</f>
        <v/>
      </c>
      <c r="G17" s="30" t="str">
        <f>IF($B$2="","",IF(E17="","",(E17/B17)*1000))</f>
        <v/>
      </c>
      <c r="H17" s="30" t="str">
        <f t="shared" si="7"/>
        <v/>
      </c>
      <c r="I17" s="30" t="str">
        <f t="shared" si="7"/>
        <v/>
      </c>
      <c r="J17" s="59" t="str">
        <f>IF($B$2="","",IF(E17="","",(I17*B17)/1000))</f>
        <v/>
      </c>
      <c r="K17" s="30" t="str">
        <f>IF($B$2="","",IF(E17="","",J17))</f>
        <v/>
      </c>
      <c r="L17" s="60" t="str">
        <f>IF($B$2="","",IF(E17="","",K17/$J$33))</f>
        <v/>
      </c>
      <c r="M17" s="74"/>
      <c r="N17" s="75" t="e">
        <f>IF($B$5="","",SUM($N$15:$N$16))</f>
        <v>#VALUE!</v>
      </c>
      <c r="O17" s="61" t="e">
        <f>VLOOKUP(A17,'[14]input diverse'!$A$98:$B$121,2,FALSE)</f>
        <v>#N/A</v>
      </c>
      <c r="P17" s="62" t="str">
        <f>IF($B$2="","",IF(I17="","",(J17*O17)))</f>
        <v/>
      </c>
      <c r="Q17" s="63">
        <v>1</v>
      </c>
      <c r="R17" s="62" t="str">
        <f>IF($B$2="","",IF(I17="","",(I17*Q17)))</f>
        <v/>
      </c>
      <c r="AQ17" s="7"/>
      <c r="AT17" s="289" t="str">
        <f>IF(A24="","",A24)</f>
        <v>Rond Zand (0/4) CF A f3 a CB SA gewassen - speciaal</v>
      </c>
      <c r="AU17" s="290"/>
      <c r="AV17" s="291"/>
      <c r="AW17" s="30" t="e">
        <f t="shared" si="0"/>
        <v>#VALUE!</v>
      </c>
      <c r="AX17" s="31">
        <f>VLOOKUP($AT$17,'[13]input granulaat'!$B4:$O32,7,0)</f>
        <v>5.9999999999999995E-4</v>
      </c>
      <c r="AY17" s="32" t="e">
        <f t="shared" si="1"/>
        <v>#VALUE!</v>
      </c>
      <c r="AZ17" s="32">
        <f>VLOOKUP($AT$17,'[13]input granulaat'!$B4:$O31,8,0)</f>
        <v>0</v>
      </c>
      <c r="BA17" s="32" t="e">
        <f t="shared" si="2"/>
        <v>#VALUE!</v>
      </c>
      <c r="BB17" s="31">
        <f>VLOOKUP($AT$17,'[13]input granulaat'!$B4:$O32,9,0)</f>
        <v>2.9999999999999997E-4</v>
      </c>
      <c r="BC17" s="32" t="e">
        <f t="shared" si="3"/>
        <v>#VALUE!</v>
      </c>
      <c r="BD17" s="32">
        <f>VLOOKUP($AT$17,'[13]input granulaat'!$B4:$O33,10,0)</f>
        <v>0</v>
      </c>
      <c r="BE17" s="32" t="e">
        <f t="shared" si="4"/>
        <v>#VALUE!</v>
      </c>
      <c r="BF17" s="33">
        <f>IF(AT17="",0,VLOOKUP($AT$17,'[13]input granulaat'!B4:O38,12,0))</f>
        <v>1.9559999999999998E-2</v>
      </c>
      <c r="BG17" s="34" t="e">
        <f t="shared" si="5"/>
        <v>#VALUE!</v>
      </c>
      <c r="EK17" s="6"/>
    </row>
    <row r="18" spans="1:141" x14ac:dyDescent="0.35">
      <c r="A18" s="68" t="s">
        <v>62</v>
      </c>
      <c r="B18" s="56"/>
      <c r="C18" s="51" t="s">
        <v>63</v>
      </c>
      <c r="D18" s="51" t="s">
        <v>64</v>
      </c>
      <c r="E18" s="69"/>
      <c r="F18" s="58"/>
      <c r="G18" s="58"/>
      <c r="H18" s="58"/>
      <c r="I18" s="30">
        <f>1000-SUM(I31,I32)-(1000*E5)</f>
        <v>980</v>
      </c>
      <c r="J18" s="71"/>
      <c r="K18" s="58"/>
      <c r="L18" s="58"/>
      <c r="M18" s="70" t="s">
        <v>65</v>
      </c>
      <c r="N18" s="70" t="s">
        <v>66</v>
      </c>
      <c r="O18" s="61"/>
      <c r="P18" s="62"/>
      <c r="Q18" s="63"/>
      <c r="R18" s="62"/>
      <c r="AQ18" s="7"/>
      <c r="AT18" s="289" t="str">
        <f>IF(A25="","",A25)</f>
        <v/>
      </c>
      <c r="AU18" s="290"/>
      <c r="AV18" s="291"/>
      <c r="AW18" s="30" t="str">
        <f t="shared" si="0"/>
        <v/>
      </c>
      <c r="AX18" s="31">
        <f>VLOOKUP($AT$18,'[13]input granulaat'!$B10:$O33,7,0)</f>
        <v>0</v>
      </c>
      <c r="AY18" s="32" t="str">
        <f t="shared" si="1"/>
        <v/>
      </c>
      <c r="AZ18" s="32">
        <f>VLOOKUP($AT$18,'[13]input granulaat'!$B10:$O32,8,0)</f>
        <v>0</v>
      </c>
      <c r="BA18" s="32" t="str">
        <f t="shared" si="2"/>
        <v/>
      </c>
      <c r="BB18" s="31">
        <f>VLOOKUP($AT$18,'[13]input granulaat'!$B10:$O33,9,0)</f>
        <v>0</v>
      </c>
      <c r="BC18" s="32" t="str">
        <f t="shared" si="3"/>
        <v/>
      </c>
      <c r="BD18" s="32">
        <f>VLOOKUP($AT$18,'[13]input granulaat'!$B10:$O34,10,0)</f>
        <v>0</v>
      </c>
      <c r="BE18" s="32" t="str">
        <f t="shared" si="4"/>
        <v/>
      </c>
      <c r="BF18" s="33">
        <f>IF(AT18="",0,VLOOKUP($AT$18,'[13]input granulaat'!$B10:$O36,12,0))</f>
        <v>0</v>
      </c>
      <c r="BG18" s="34" t="str">
        <f t="shared" si="5"/>
        <v/>
      </c>
      <c r="EK18" s="6"/>
    </row>
    <row r="19" spans="1:141" x14ac:dyDescent="0.35">
      <c r="A19" s="2" t="s">
        <v>130</v>
      </c>
      <c r="B19" s="56">
        <f>IF($B$2="","",IF(A19="","",VLOOKUP(A19,'[13]input granulaat'!B4:O43,5,0)))</f>
        <v>2670</v>
      </c>
      <c r="C19" s="76">
        <f>IF(A19="","",VLOOKUP(A19,'[13]input granulaat'!B4:O29,6,0))</f>
        <v>0</v>
      </c>
      <c r="D19" s="76">
        <f>IF(A19="","",VLOOKUP(A19,'[13]input granulaat'!B4:O29,11,0))</f>
        <v>5.0000000000000001E-3</v>
      </c>
      <c r="E19" s="57">
        <f>B112</f>
        <v>0</v>
      </c>
      <c r="F19" s="30">
        <f>IF($B$2="","",IF(E19="","",E19/(1+C19)))</f>
        <v>0</v>
      </c>
      <c r="G19" s="30">
        <f>IF($B$2="","",IF(E19="","",(F19/B19)*1000))</f>
        <v>0</v>
      </c>
      <c r="H19" s="30" t="e">
        <f>IF($B$2="","",IF(E19="","",(G19/$G$33)*(1000-(1000*$E$5))))</f>
        <v>#VALUE!</v>
      </c>
      <c r="I19" s="30" t="e">
        <f>IF(E19="","",H19/$I$30*$I$18)</f>
        <v>#VALUE!</v>
      </c>
      <c r="J19" s="59" t="e">
        <f>IF($B$2="","",IF(E19="","",(I19*B19)/1000))</f>
        <v>#VALUE!</v>
      </c>
      <c r="K19" s="30" t="e">
        <f>IF($B$2="","",IF(E19="","",J19+(J19*C19)))</f>
        <v>#VALUE!</v>
      </c>
      <c r="L19" s="60" t="e">
        <f>IF($B$2="","",IF(E19="","",K19/$J$33))</f>
        <v>#VALUE!</v>
      </c>
      <c r="M19" s="60" t="e">
        <f>IF($B$2="","",IF(E19="","",K19/SUM($K$19:$K$21,$K$23:$K$25)))</f>
        <v>#VALUE!</v>
      </c>
      <c r="N19" s="30" t="e">
        <f>IF($B$5="","",IF(E19="","",J19*D19))</f>
        <v>#VALUE!</v>
      </c>
      <c r="O19" s="61">
        <f>VLOOKUP(A19,'[13]input diverse'!A98:B127,2,FALSE)</f>
        <v>4.3999999999999997E-2</v>
      </c>
      <c r="P19" s="62" t="e">
        <f>IF($B$2="","",IF(I19="","",(J19*O19)))</f>
        <v>#VALUE!</v>
      </c>
      <c r="Q19" s="63">
        <f>VLOOKUP(A19,[13]granulometrie!B4:W26,5,FALSE)/100</f>
        <v>2.1000000000000001E-2</v>
      </c>
      <c r="R19" s="62" t="e">
        <f>IF($B$2="","",IF(I19="","",(I19*Q19)))</f>
        <v>#VALUE!</v>
      </c>
      <c r="AQ19" s="7"/>
      <c r="AT19" s="289" t="str">
        <f>IF(A27="","",A27)</f>
        <v/>
      </c>
      <c r="AU19" s="290"/>
      <c r="AV19" s="291"/>
      <c r="AW19" s="30" t="str">
        <f t="shared" si="0"/>
        <v/>
      </c>
      <c r="AX19" s="31" t="e">
        <f>VLOOKUP($AT$19,'[13]input hulpstof'!$B4:$O15,7,0)</f>
        <v>#N/A</v>
      </c>
      <c r="AY19" s="32" t="e">
        <f>IF(AW19="","",AW19*AX19)-0.0007</f>
        <v>#VALUE!</v>
      </c>
      <c r="AZ19" s="32">
        <f>VLOOKUP($AT$19,'[13]input hulpstof'!$B4:$O18,8,0)</f>
        <v>0</v>
      </c>
      <c r="BA19" s="32" t="str">
        <f t="shared" si="2"/>
        <v/>
      </c>
      <c r="BB19" s="31">
        <f>VLOOKUP($AT$19,'[13]input hulpstof'!$B4:$O16,9,0)</f>
        <v>0</v>
      </c>
      <c r="BC19" s="32" t="str">
        <f t="shared" si="3"/>
        <v/>
      </c>
      <c r="BD19" s="32">
        <f>VLOOKUP($AT$19,'[13]input hulpstof'!$B4:$O24,10,0)</f>
        <v>0</v>
      </c>
      <c r="BE19" s="32" t="str">
        <f t="shared" si="4"/>
        <v/>
      </c>
      <c r="BF19" s="33">
        <f>IF(AT19="",0,VLOOKUP($AT$19,'[13]input hulpstof'!$B4:$O26,12,0))</f>
        <v>0</v>
      </c>
      <c r="BG19" s="34" t="str">
        <f t="shared" si="5"/>
        <v/>
      </c>
      <c r="EK19" s="6"/>
    </row>
    <row r="20" spans="1:141" x14ac:dyDescent="0.35">
      <c r="A20" s="2"/>
      <c r="B20" s="56" t="str">
        <f>IF($B$2="","",IF(A20="","",VLOOKUP(A20,'[13]input granulaat'!B4:O44,5,0)))</f>
        <v/>
      </c>
      <c r="C20" s="76" t="str">
        <f>IF(A20="","",VLOOKUP(A20,'[13]input granulaat'!B4:O30,6,0))</f>
        <v/>
      </c>
      <c r="D20" s="76" t="str">
        <f>IF(A20="","",VLOOKUP(A20,'[13]input granulaat'!B4:O30,11,0))</f>
        <v/>
      </c>
      <c r="E20" s="57">
        <f>E112</f>
        <v>1277.3320000000001</v>
      </c>
      <c r="F20" s="30" t="e">
        <f>IF($B$2="","",IF(E20="","",E20/(1+C20)))</f>
        <v>#VALUE!</v>
      </c>
      <c r="G20" s="30" t="e">
        <f>IF($B$2="","",IF(E20="","",(F20/B20)*1000))</f>
        <v>#VALUE!</v>
      </c>
      <c r="H20" s="30" t="e">
        <f>IF($B$2="","",IF(E20="","",(G20/$G$33)*(1000-(1000*$E$5))))</f>
        <v>#VALUE!</v>
      </c>
      <c r="I20" s="30" t="e">
        <f>IF(E20="","",H20/$I$30*$I$18)</f>
        <v>#VALUE!</v>
      </c>
      <c r="J20" s="59" t="e">
        <f>IF($B$2="","",IF(E20="","",(I20*B20)/1000))</f>
        <v>#VALUE!</v>
      </c>
      <c r="K20" s="30" t="e">
        <f>IF($B$2="","",IF(E20="","",J20+(J20*C20)))</f>
        <v>#VALUE!</v>
      </c>
      <c r="L20" s="60" t="e">
        <f>IF($B$2="","",IF(E20="","",K20/$J$33))</f>
        <v>#VALUE!</v>
      </c>
      <c r="M20" s="60" t="e">
        <f>IF($B$2="","",IF(E20="","",K20/SUM($K$19:$K$21,$K$23:$K$25)))</f>
        <v>#VALUE!</v>
      </c>
      <c r="N20" s="30" t="e">
        <f>IF($B$5="","",IF(E20="","",J20*D20))</f>
        <v>#VALUE!</v>
      </c>
      <c r="O20" s="61" t="e">
        <f>VLOOKUP(A20,'[13]input diverse'!A98:B128,2,FALSE)</f>
        <v>#N/A</v>
      </c>
      <c r="P20" s="62" t="e">
        <f>IF($B$2="","",IF(I20="","",(J20*O20)))</f>
        <v>#VALUE!</v>
      </c>
      <c r="Q20" s="63" t="e">
        <f>VLOOKUP(A20,[13]granulometrie!B4:W27,5,FALSE)/100</f>
        <v>#N/A</v>
      </c>
      <c r="R20" s="62" t="e">
        <f>IF($B$2="","",IF(I20="","",(I20*Q20)))</f>
        <v>#VALUE!</v>
      </c>
      <c r="AQ20" s="7"/>
      <c r="AT20" s="289" t="str">
        <f>IF(A28="","",A28)</f>
        <v>MasterAir 104 con 4% LBV</v>
      </c>
      <c r="AU20" s="290"/>
      <c r="AV20" s="291"/>
      <c r="AW20" s="30" t="str">
        <f t="shared" si="0"/>
        <v/>
      </c>
      <c r="AX20" s="31">
        <f>VLOOKUP($AT$20,'[13]input hulpstof'!$B5:$O16,7,0)</f>
        <v>1E-3</v>
      </c>
      <c r="AY20" s="32" t="str">
        <f t="shared" si="1"/>
        <v/>
      </c>
      <c r="AZ20" s="32">
        <f>VLOOKUP($AT$20,'[13]input hulpstof'!$B5:$O19,8,0)</f>
        <v>0</v>
      </c>
      <c r="BA20" s="32" t="str">
        <f t="shared" si="2"/>
        <v/>
      </c>
      <c r="BB20" s="31">
        <f>VLOOKUP($AT$20,'[13]input hulpstof'!$B5:$O17,9,0)</f>
        <v>0.01</v>
      </c>
      <c r="BC20" s="32" t="str">
        <f t="shared" si="3"/>
        <v/>
      </c>
      <c r="BD20" s="32">
        <f>VLOOKUP($AT$19,'[13]input hulpstof'!$B5:$O25,10,0)</f>
        <v>0</v>
      </c>
      <c r="BE20" s="32" t="str">
        <f t="shared" si="4"/>
        <v/>
      </c>
      <c r="BF20" s="77">
        <f>IF(AT20="",0,VLOOKUP($AT$20,'[13]input hulpstof'!$B5:$O27,12,0))</f>
        <v>1.22</v>
      </c>
      <c r="BG20" s="34" t="str">
        <f t="shared" si="5"/>
        <v/>
      </c>
      <c r="EK20" s="6"/>
    </row>
    <row r="21" spans="1:141" x14ac:dyDescent="0.35">
      <c r="A21" s="2"/>
      <c r="B21" s="56" t="str">
        <f>IF($B$2="","",IF(A21="","",VLOOKUP(A21,'[13]input granulaat'!B4:O45,5,0)))</f>
        <v/>
      </c>
      <c r="C21" s="76" t="str">
        <f>IF(A21="","",VLOOKUP(A21,'[13]input granulaat'!B4:O31,6,0))</f>
        <v/>
      </c>
      <c r="D21" s="78" t="str">
        <f>IF(A21="","",VLOOKUP(A21,'[13]input granulaat'!B4:O31,11,0))</f>
        <v/>
      </c>
      <c r="E21" s="57"/>
      <c r="F21" s="30" t="str">
        <f>IF($B$2="","",IF(E21="","",E21/(1+C21)))</f>
        <v/>
      </c>
      <c r="G21" s="30" t="str">
        <f>IF($B$2="","",IF(E21="","",(F21/B21)*1000))</f>
        <v/>
      </c>
      <c r="H21" s="30" t="str">
        <f>IF($B$2="","",IF(E21="","",(G21/$G$33)*(1000-(1000*$E$5))))</f>
        <v/>
      </c>
      <c r="I21" s="30" t="str">
        <f>IF(E21="","",H21/$I$30*$I$18)</f>
        <v/>
      </c>
      <c r="J21" s="59" t="str">
        <f>IF($B$2="","",IF(E21="","",(I21*B21)/1000))</f>
        <v/>
      </c>
      <c r="K21" s="30" t="str">
        <f>IF($B$2="","",IF(E21="","",J21+(J21*C21)))</f>
        <v/>
      </c>
      <c r="L21" s="60" t="str">
        <f>IF($B$2="","",IF(E21="","",K21/$J$33))</f>
        <v/>
      </c>
      <c r="M21" s="60" t="str">
        <f>IF($B$2="","",IF(E21="","",K21/SUM($K$19:$K$21,$K$23:$K$25)))</f>
        <v/>
      </c>
      <c r="N21" s="30" t="str">
        <f>IF($B$5="","",IF(E21="","",J21*D21))</f>
        <v/>
      </c>
      <c r="O21" s="61" t="e">
        <f>VLOOKUP(A21,'[13]input diverse'!A98:B129,2,FALSE)</f>
        <v>#N/A</v>
      </c>
      <c r="P21" s="62" t="str">
        <f>IF($B$2="","",IF(I21="","",(J21*O21)))</f>
        <v/>
      </c>
      <c r="Q21" s="63" t="e">
        <f>VLOOKUP(A21,[13]granulometrie!B4:W28,5,FALSE)/100</f>
        <v>#N/A</v>
      </c>
      <c r="R21" s="62" t="str">
        <f>IF($B$2="","",IF(I21="","",(I21*Q21)))</f>
        <v/>
      </c>
      <c r="AQ21" s="7"/>
      <c r="AT21" s="289" t="str">
        <f>IF(A29="","",A29)</f>
        <v/>
      </c>
      <c r="AU21" s="290"/>
      <c r="AV21" s="291"/>
      <c r="AW21" s="30" t="str">
        <f t="shared" si="0"/>
        <v/>
      </c>
      <c r="AX21" s="31">
        <f>VLOOKUP($AT$21,'[13]input hulpstof'!$B6:$O17,7,0)</f>
        <v>0</v>
      </c>
      <c r="AY21" s="32" t="str">
        <f t="shared" si="1"/>
        <v/>
      </c>
      <c r="AZ21" s="32">
        <f>VLOOKUP($AT$21,'[13]input hulpstof'!$B6:$O20,8,0)</f>
        <v>0</v>
      </c>
      <c r="BA21" s="32" t="str">
        <f t="shared" si="2"/>
        <v/>
      </c>
      <c r="BB21" s="31">
        <f>VLOOKUP($AT$21,'[13]input hulpstof'!$B6:$O18,9,0)</f>
        <v>0</v>
      </c>
      <c r="BC21" s="32" t="str">
        <f t="shared" si="3"/>
        <v/>
      </c>
      <c r="BD21" s="32">
        <f>VLOOKUP($AT$21,'[13]input hulpstof'!$B6:$O26,10,0)</f>
        <v>0</v>
      </c>
      <c r="BE21" s="32" t="str">
        <f t="shared" si="4"/>
        <v/>
      </c>
      <c r="BF21" s="33">
        <f>IF(AT21="",0,VLOOKUP($AT$21,'[13]input hulpstof'!$B6:$O28,12,0))</f>
        <v>0</v>
      </c>
      <c r="BG21" s="34" t="str">
        <f t="shared" si="5"/>
        <v/>
      </c>
      <c r="EK21" s="6"/>
    </row>
    <row r="22" spans="1:141" x14ac:dyDescent="0.35">
      <c r="A22" s="68" t="s">
        <v>67</v>
      </c>
      <c r="B22" s="56"/>
      <c r="C22" s="70" t="s">
        <v>63</v>
      </c>
      <c r="D22" s="70" t="s">
        <v>64</v>
      </c>
      <c r="E22" s="69"/>
      <c r="F22" s="58"/>
      <c r="G22" s="58"/>
      <c r="H22" s="58"/>
      <c r="I22" s="58"/>
      <c r="J22" s="71"/>
      <c r="K22" s="58"/>
      <c r="L22" s="58"/>
      <c r="M22" s="58"/>
      <c r="N22" s="58"/>
      <c r="O22" s="61"/>
      <c r="P22" s="62"/>
      <c r="Q22" s="63"/>
      <c r="R22" s="62"/>
      <c r="AQ22" s="7"/>
      <c r="AT22" s="289" t="str">
        <f>IF(A31="","",A31)</f>
        <v>aanmaakwater - oppervlaktewater</v>
      </c>
      <c r="AU22" s="290"/>
      <c r="AV22" s="291"/>
      <c r="AW22" s="30" t="e">
        <f>IF(B52="","",B55)</f>
        <v>#VALUE!</v>
      </c>
      <c r="AX22" s="31">
        <f>VLOOKUP($AT$22,'[14]input andere'!$B$4:$N$53,7,0)</f>
        <v>1E-3</v>
      </c>
      <c r="AY22" s="32" t="e">
        <f t="shared" si="1"/>
        <v>#VALUE!</v>
      </c>
      <c r="AZ22" s="32">
        <f>VLOOKUP($AT$22,'[14]input andere'!$B$4:$N$53,8,0)</f>
        <v>0</v>
      </c>
      <c r="BA22" s="32" t="e">
        <f t="shared" si="2"/>
        <v>#VALUE!</v>
      </c>
      <c r="BB22" s="31">
        <f>VLOOKUP($AT$22,'[14]input andere'!$B$4:$N$53,9,0)</f>
        <v>1.5E-3</v>
      </c>
      <c r="BC22" s="32" t="e">
        <f t="shared" si="3"/>
        <v>#VALUE!</v>
      </c>
      <c r="BD22" s="32">
        <f>VLOOKUP($AT$22,'[14]input andere'!$B$4:$N$53,10,0)</f>
        <v>0</v>
      </c>
      <c r="BE22" s="32" t="e">
        <f t="shared" si="4"/>
        <v>#VALUE!</v>
      </c>
      <c r="BF22" s="33">
        <f>IF(AT22="",0,VLOOKUP($AT$22,'[14]input andere'!$B$4:$N$53,12,0))</f>
        <v>0</v>
      </c>
      <c r="BG22" s="34" t="e">
        <f t="shared" si="5"/>
        <v>#VALUE!</v>
      </c>
      <c r="EK22" s="6"/>
    </row>
    <row r="23" spans="1:141" x14ac:dyDescent="0.35">
      <c r="A23" s="2"/>
      <c r="B23" s="56" t="str">
        <f>IF($B$2="","",IF(A23="","",VLOOKUP(A23,'[13]input granulaat'!B4:O28,5,0)))</f>
        <v/>
      </c>
      <c r="C23" s="76" t="str">
        <f>IF(A23="","",VLOOKUP(A23,'[13]input granulaat'!B4:O25,6,0))</f>
        <v/>
      </c>
      <c r="D23" s="76" t="str">
        <f>IF(A23="","",VLOOKUP(A23,'[13]input granulaat'!B4:O28,11,0))</f>
        <v/>
      </c>
      <c r="E23" s="57">
        <f>H112</f>
        <v>0</v>
      </c>
      <c r="F23" s="30" t="e">
        <f>IF($B$2="","",IF(E23="","",E23/(1+C23)))</f>
        <v>#VALUE!</v>
      </c>
      <c r="G23" s="30" t="e">
        <f>IF($B$2="","",IF(E23="","",(F23/B23)*1000))</f>
        <v>#VALUE!</v>
      </c>
      <c r="H23" s="30" t="e">
        <f>IF($B$2="","",IF(E23="","",(G23/$G$33)*(1000-(1000*$E$5))))</f>
        <v>#VALUE!</v>
      </c>
      <c r="I23" s="30" t="e">
        <f>IF(E23="","",H23/$I$30*$I$18)</f>
        <v>#VALUE!</v>
      </c>
      <c r="J23" s="59" t="e">
        <f>IF($B$2="","",IF(E23="","",(I23*B23)/1000))</f>
        <v>#VALUE!</v>
      </c>
      <c r="K23" s="30" t="e">
        <f>IF($B$2="","",IF(E23="","",J23+(J23*C23)))</f>
        <v>#VALUE!</v>
      </c>
      <c r="L23" s="60" t="e">
        <f>IF($B$2="","",IF(E23="","",K23/$J$33))</f>
        <v>#VALUE!</v>
      </c>
      <c r="M23" s="60" t="e">
        <f>IF($B$2="","",IF(E23="","",K23/SUM($K$19:$K$21,$K$23:$K$25)))</f>
        <v>#VALUE!</v>
      </c>
      <c r="N23" s="30" t="e">
        <f>IF($B$5="","",IF(E23="","",J23*D23))</f>
        <v>#VALUE!</v>
      </c>
      <c r="O23" s="61" t="e">
        <f>VLOOKUP(A23,'[13]input diverse'!A98:B122,2,FALSE)</f>
        <v>#N/A</v>
      </c>
      <c r="P23" s="62" t="e">
        <f>IF($B$2="","",IF(I23="","",(J23*O23)))</f>
        <v>#VALUE!</v>
      </c>
      <c r="Q23" s="63" t="e">
        <f>VLOOKUP(A23,[13]granulometrie!B3:Y24,5,FALSE)/100</f>
        <v>#N/A</v>
      </c>
      <c r="R23" s="62" t="e">
        <f>IF($B$2="","",IF(I23="","",(I23*Q23)))</f>
        <v>#VALUE!</v>
      </c>
      <c r="AQ23" s="7"/>
      <c r="AT23" s="292" t="s">
        <v>68</v>
      </c>
      <c r="AU23" s="292"/>
      <c r="AV23" s="293"/>
      <c r="AW23" s="30">
        <f>IF($B$5="","",$G$30)</f>
        <v>0</v>
      </c>
      <c r="AX23" s="79" t="s">
        <v>69</v>
      </c>
      <c r="AY23" s="32" t="e">
        <f>SUM(AY5:AY22)</f>
        <v>#VALUE!</v>
      </c>
      <c r="AZ23" s="80"/>
      <c r="BA23" s="32" t="e">
        <f>SUM(BA5:BA22)</f>
        <v>#VALUE!</v>
      </c>
      <c r="BB23" s="80"/>
      <c r="BC23" s="32" t="e">
        <f>SUM(BC5:BC22)</f>
        <v>#VALUE!</v>
      </c>
      <c r="BD23" s="80"/>
      <c r="BE23" s="32" t="e">
        <f>SUM(BE5:BE22)</f>
        <v>#VALUE!</v>
      </c>
      <c r="BF23" s="80"/>
      <c r="BG23" s="34" t="e">
        <f>SUM(BG5:BG22)</f>
        <v>#VALUE!</v>
      </c>
      <c r="EK23" s="6"/>
    </row>
    <row r="24" spans="1:141" x14ac:dyDescent="0.35">
      <c r="A24" s="2" t="s">
        <v>128</v>
      </c>
      <c r="B24" s="56">
        <f>IF($B$2="","",IF(A24="","",VLOOKUP(A24,'[13]input granulaat'!B4:O29,5,0)))</f>
        <v>2660</v>
      </c>
      <c r="C24" s="76">
        <f>IF(A24="","",VLOOKUP(A24,'[13]input granulaat'!B4:O26,6,0))</f>
        <v>0</v>
      </c>
      <c r="D24" s="76">
        <f>IF(A24="","",VLOOKUP(A24,'[13]input granulaat'!B4:O29,11,0))</f>
        <v>3.0000000000000001E-3</v>
      </c>
      <c r="E24" s="57">
        <f>J112</f>
        <v>1334.4659999999999</v>
      </c>
      <c r="F24" s="30">
        <f>IF($B$2="","",IF(E24="","",E24/(1+C24)))</f>
        <v>1334.4659999999999</v>
      </c>
      <c r="G24" s="30">
        <f>IF($B$2="","",IF(E24="","",(F24/B24)*1000))</f>
        <v>501.67894736842101</v>
      </c>
      <c r="H24" s="30" t="e">
        <f>IF($B$2="","",IF(E24="","",(G24/$G$33)*(1000-(1000*$E$5))))</f>
        <v>#VALUE!</v>
      </c>
      <c r="I24" s="30" t="e">
        <f>IF(E24="","",H24/$I$30*$I$18)</f>
        <v>#VALUE!</v>
      </c>
      <c r="J24" s="59" t="e">
        <f>IF($B$2="","",IF(E24="","",(I24*B24)/1000))</f>
        <v>#VALUE!</v>
      </c>
      <c r="K24" s="30" t="e">
        <f>IF($B$2="","",IF(E24="","",J24+(J24*C24)))</f>
        <v>#VALUE!</v>
      </c>
      <c r="L24" s="60" t="e">
        <f>IF($B$2="","",IF(E24="","",K24/$J$33))</f>
        <v>#VALUE!</v>
      </c>
      <c r="M24" s="60" t="e">
        <f>IF($B$2="","",IF(E24="","",K24/SUM($K$19:$K$21,$K$23:$K$25)))</f>
        <v>#VALUE!</v>
      </c>
      <c r="N24" s="30" t="e">
        <f>IF($B$5="","",IF(E24="","",J24*D24))</f>
        <v>#VALUE!</v>
      </c>
      <c r="O24" s="61">
        <f>VLOOKUP(A24,'[13]input diverse'!A98:B123,2,FALSE)</f>
        <v>5.7000000000000002E-2</v>
      </c>
      <c r="P24" s="62" t="e">
        <f>IF($B$2="","",IF(I24="","",(J24*O24)))</f>
        <v>#VALUE!</v>
      </c>
      <c r="Q24" s="63">
        <f>VLOOKUP(A24,[13]granulometrie!B4:Y25,5,FALSE)/100</f>
        <v>0.12</v>
      </c>
      <c r="R24" s="62" t="e">
        <f>IF($B$2="","",IF(I24="","",(I24*Q24)))</f>
        <v>#VALUE!</v>
      </c>
      <c r="AQ24" s="7"/>
      <c r="AT24" s="6" t="str">
        <f>IF(A33="","",A33)</f>
        <v/>
      </c>
      <c r="EK24" s="6"/>
    </row>
    <row r="25" spans="1:141" x14ac:dyDescent="0.35">
      <c r="A25" s="2"/>
      <c r="B25" s="56" t="str">
        <f>IF($B$2="","",IF(A25="","",VLOOKUP(A25,'[13]input granulaat'!B4:O30,5,0)))</f>
        <v/>
      </c>
      <c r="C25" s="76" t="str">
        <f>IF(A25="","",VLOOKUP(A25,'[13]input granulaat'!B4:O27,6,0))</f>
        <v/>
      </c>
      <c r="D25" s="76" t="str">
        <f>IF(A25="","",VLOOKUP(A25,'[13]input granulaat'!B4:O30,11,0))</f>
        <v/>
      </c>
      <c r="E25" s="57"/>
      <c r="F25" s="30" t="str">
        <f>IF($B$2="","",IF(E25="","",E25/(1+C25)))</f>
        <v/>
      </c>
      <c r="G25" s="30" t="str">
        <f>IF($B$2="","",IF(E25="","",(F25/B25)*1000))</f>
        <v/>
      </c>
      <c r="H25" s="30" t="str">
        <f>IF($B$2="","",IF(E25="","",(G25/$G$33)*(1000-(1000*$E$5))))</f>
        <v/>
      </c>
      <c r="I25" s="30" t="str">
        <f>IF(E25="","",H25/$I$30*$I$18)</f>
        <v/>
      </c>
      <c r="J25" s="59" t="str">
        <f>IF($B$2="","",IF(E25="","",(I25*B25)/1000))</f>
        <v/>
      </c>
      <c r="K25" s="30" t="str">
        <f>IF($B$2="","",IF(E25="","",J25+(J25*C25)))</f>
        <v/>
      </c>
      <c r="L25" s="60" t="str">
        <f>IF($B$2="","",IF(E25="","",K25/$J$33))</f>
        <v/>
      </c>
      <c r="M25" s="60" t="str">
        <f>IF($B$2="","",IF(E25="","",K25/SUM($K$19:$K$21,$K$23:$K$25)))</f>
        <v/>
      </c>
      <c r="N25" s="30" t="str">
        <f>IF($B$5="","",IF(E25="","",J25*D25))</f>
        <v/>
      </c>
      <c r="O25" s="61" t="e">
        <f>VLOOKUP(A25,'[13]input diverse'!A98:B124,2,FALSE)</f>
        <v>#N/A</v>
      </c>
      <c r="P25" s="62" t="str">
        <f>IF($B$2="","",IF(I25="","",(J25*O25)))</f>
        <v/>
      </c>
      <c r="Q25" s="63" t="e">
        <f>VLOOKUP(A25,[13]granulometrie!B5:Y26,5,FALSE)/100</f>
        <v>#N/A</v>
      </c>
      <c r="R25" s="62" t="str">
        <f>IF($B$2="","",IF(I25="","",(I25*Q25)))</f>
        <v/>
      </c>
      <c r="AQ25" s="7"/>
      <c r="AT25" s="21" t="str">
        <f>IF(A34="","",A34)</f>
        <v/>
      </c>
      <c r="AU25" s="21"/>
      <c r="AV25" s="21"/>
      <c r="AW25" s="21"/>
      <c r="AX25" s="294" t="s">
        <v>70</v>
      </c>
      <c r="AY25" s="295"/>
      <c r="AZ25" s="295"/>
      <c r="BA25" s="295"/>
      <c r="BB25" s="295"/>
      <c r="BC25" s="295"/>
      <c r="BD25" s="295"/>
      <c r="BE25" s="295"/>
      <c r="BF25" s="295"/>
      <c r="BG25" s="295"/>
      <c r="BH25" s="295"/>
      <c r="BI25" s="295"/>
      <c r="BJ25" s="295"/>
      <c r="BK25" s="295"/>
      <c r="BL25" s="295"/>
      <c r="BM25" s="295"/>
      <c r="BN25" s="295"/>
      <c r="BO25" s="295"/>
      <c r="BP25" s="295"/>
      <c r="BQ25" s="295"/>
      <c r="BR25" s="295"/>
      <c r="BS25" s="295"/>
      <c r="BT25" s="295"/>
      <c r="BU25" s="295"/>
      <c r="BV25" s="295"/>
      <c r="BW25" s="295"/>
      <c r="BX25" s="295"/>
      <c r="BY25" s="295"/>
      <c r="BZ25" s="295"/>
      <c r="CA25" s="295"/>
      <c r="CB25" s="295"/>
      <c r="CC25" s="295"/>
      <c r="CD25" s="295"/>
      <c r="CE25" s="295"/>
      <c r="CF25" s="295"/>
      <c r="CG25" s="295"/>
      <c r="CH25" s="295"/>
      <c r="CI25" s="295"/>
      <c r="CJ25" s="295"/>
      <c r="CK25" s="295"/>
      <c r="CL25" s="295"/>
      <c r="CM25" s="295"/>
      <c r="CN25" s="295"/>
      <c r="CO25" s="295"/>
      <c r="EK25" s="6"/>
    </row>
    <row r="26" spans="1:141" ht="15" customHeight="1" thickBot="1" x14ac:dyDescent="0.4">
      <c r="A26" s="68" t="s">
        <v>71</v>
      </c>
      <c r="B26" s="56"/>
      <c r="C26" s="296" t="s">
        <v>72</v>
      </c>
      <c r="D26" s="296"/>
      <c r="E26" s="69"/>
      <c r="F26" s="58" t="s">
        <v>73</v>
      </c>
      <c r="G26" s="58"/>
      <c r="H26" s="58"/>
      <c r="I26" s="58"/>
      <c r="J26" s="71"/>
      <c r="K26" s="58"/>
      <c r="L26" s="58"/>
      <c r="M26" s="82" t="e">
        <f>IF($B$2="","",SUM($M$19:$M$21,$M$23:$M$25))</f>
        <v>#VALUE!</v>
      </c>
      <c r="N26" s="70" t="s">
        <v>74</v>
      </c>
      <c r="O26" s="61"/>
      <c r="P26" s="62"/>
      <c r="R26" s="83"/>
      <c r="AQ26" s="7"/>
      <c r="AT26" s="21"/>
      <c r="AU26" s="21"/>
      <c r="AV26" s="21"/>
      <c r="AW26" s="21"/>
      <c r="AX26" s="287" t="str">
        <f>[14]granulometrie!C3</f>
        <v>Bodem</v>
      </c>
      <c r="AY26" s="288"/>
      <c r="AZ26" s="297">
        <f>[14]granulometrie!D3</f>
        <v>6.3E-2</v>
      </c>
      <c r="BA26" s="298"/>
      <c r="BB26" s="297">
        <f>[14]granulometrie!E3</f>
        <v>0.125</v>
      </c>
      <c r="BC26" s="298"/>
      <c r="BD26" s="297">
        <f>[14]granulometrie!F3</f>
        <v>0.25</v>
      </c>
      <c r="BE26" s="298"/>
      <c r="BF26" s="297">
        <f>[14]granulometrie!G3</f>
        <v>0.5</v>
      </c>
      <c r="BG26" s="298"/>
      <c r="BH26" s="282">
        <f>[14]granulometrie!H3</f>
        <v>1</v>
      </c>
      <c r="BI26" s="283"/>
      <c r="BJ26" s="282">
        <f>[14]granulometrie!I3</f>
        <v>2</v>
      </c>
      <c r="BK26" s="283"/>
      <c r="BL26" s="282">
        <f>[14]granulometrie!J3</f>
        <v>4</v>
      </c>
      <c r="BM26" s="283"/>
      <c r="BN26" s="282">
        <f>[14]granulometrie!K3</f>
        <v>6.3</v>
      </c>
      <c r="BO26" s="283"/>
      <c r="BP26" s="282">
        <f>[14]granulometrie!L3</f>
        <v>8</v>
      </c>
      <c r="BQ26" s="283"/>
      <c r="BR26" s="282">
        <f>[14]granulometrie!M3</f>
        <v>10</v>
      </c>
      <c r="BS26" s="283"/>
      <c r="BT26" s="282">
        <f>[14]granulometrie!N3</f>
        <v>12.5</v>
      </c>
      <c r="BU26" s="283"/>
      <c r="BV26" s="287">
        <f>[14]granulometrie!O3</f>
        <v>14</v>
      </c>
      <c r="BW26" s="288"/>
      <c r="BX26" s="287">
        <f>[14]granulometrie!P3</f>
        <v>16</v>
      </c>
      <c r="BY26" s="288"/>
      <c r="BZ26" s="282">
        <f>[14]granulometrie!Q3</f>
        <v>20</v>
      </c>
      <c r="CA26" s="283"/>
      <c r="CB26" s="282">
        <f>[14]granulometrie!R3</f>
        <v>31.5</v>
      </c>
      <c r="CC26" s="283"/>
      <c r="CD26" s="282">
        <f>[14]granulometrie!S3</f>
        <v>40</v>
      </c>
      <c r="CE26" s="283"/>
      <c r="CF26" s="282">
        <f>[14]granulometrie!T3</f>
        <v>0</v>
      </c>
      <c r="CG26" s="283"/>
      <c r="CH26" s="282">
        <f>[14]granulometrie!U3</f>
        <v>0</v>
      </c>
      <c r="CI26" s="283"/>
      <c r="CJ26" s="282">
        <f>[14]granulometrie!V3</f>
        <v>0</v>
      </c>
      <c r="CK26" s="283"/>
      <c r="CL26" s="282">
        <f>[14]granulometrie!W3</f>
        <v>0</v>
      </c>
      <c r="CM26" s="283"/>
      <c r="CN26" s="282">
        <f>[14]granulometrie!X3</f>
        <v>0</v>
      </c>
      <c r="CO26" s="283"/>
      <c r="EK26" s="6"/>
    </row>
    <row r="27" spans="1:141" x14ac:dyDescent="0.35">
      <c r="A27" s="2"/>
      <c r="B27" s="56" t="str">
        <f>IF($B$2="","",IF(A27="","",VLOOKUP(A27,'[13]input hulpstof'!B4:N13,5,0)))</f>
        <v/>
      </c>
      <c r="C27" s="276" t="str">
        <f>IF(A27="","",VLOOKUP(A27,'[13]input hulpstof'!B4:N19,6,0))</f>
        <v/>
      </c>
      <c r="D27" s="276"/>
      <c r="E27" s="84"/>
      <c r="F27" s="85" t="e">
        <f>VLOOKUP(A27,'[13]input hulpstof'!C5:P13,13,FALSE)</f>
        <v>#N/A</v>
      </c>
      <c r="G27" s="85" t="str">
        <f>IF($B$2="","",IF(E27="","",(E27/B27)*1000))</f>
        <v/>
      </c>
      <c r="H27" s="85" t="str">
        <f t="shared" ref="H27:I29" si="8">IF(G27="","",G27)</f>
        <v/>
      </c>
      <c r="I27" s="85" t="str">
        <f t="shared" si="8"/>
        <v/>
      </c>
      <c r="J27" s="86" t="str">
        <f>IF($B$2="","",IF(E27="","",(I27*B27)/1000))</f>
        <v/>
      </c>
      <c r="K27" s="85" t="str">
        <f>IF($B$2="","",IF(E27="","",J27))</f>
        <v/>
      </c>
      <c r="L27" s="60" t="str">
        <f>IF($B$2="","",IF(E27="","",K27/$J$33))</f>
        <v/>
      </c>
      <c r="M27" s="58"/>
      <c r="N27" s="85" t="str">
        <f>IF($B$2="","",IF(E27="","",J27-(J27*C27)))</f>
        <v/>
      </c>
      <c r="O27" s="61"/>
      <c r="P27" s="62"/>
      <c r="Q27" s="284" t="s">
        <v>54</v>
      </c>
      <c r="R27" s="286" t="e">
        <f>SUM(R11:R25)</f>
        <v>#VALUE!</v>
      </c>
      <c r="AQ27" s="7"/>
      <c r="AT27" s="21"/>
      <c r="AU27" s="58" t="s">
        <v>19</v>
      </c>
      <c r="AV27" s="58" t="s">
        <v>30</v>
      </c>
      <c r="AW27" s="58"/>
      <c r="AX27" s="87">
        <v>1</v>
      </c>
      <c r="AY27" s="87">
        <v>2</v>
      </c>
      <c r="AZ27" s="87">
        <v>1</v>
      </c>
      <c r="BA27" s="87">
        <v>2</v>
      </c>
      <c r="BB27" s="87">
        <v>1</v>
      </c>
      <c r="BC27" s="87">
        <v>2</v>
      </c>
      <c r="BD27" s="87">
        <v>1</v>
      </c>
      <c r="BE27" s="87">
        <v>2</v>
      </c>
      <c r="BF27" s="87">
        <v>1</v>
      </c>
      <c r="BG27" s="87">
        <v>2</v>
      </c>
      <c r="BH27" s="87">
        <v>1</v>
      </c>
      <c r="BI27" s="87">
        <v>2</v>
      </c>
      <c r="BJ27" s="87">
        <v>1</v>
      </c>
      <c r="BK27" s="87">
        <v>2</v>
      </c>
      <c r="BL27" s="87">
        <v>1</v>
      </c>
      <c r="BM27" s="87">
        <v>2</v>
      </c>
      <c r="BN27" s="87">
        <v>1</v>
      </c>
      <c r="BO27" s="87">
        <v>2</v>
      </c>
      <c r="BP27" s="87">
        <v>1</v>
      </c>
      <c r="BQ27" s="87">
        <v>2</v>
      </c>
      <c r="BR27" s="87">
        <v>1</v>
      </c>
      <c r="BS27" s="87">
        <v>2</v>
      </c>
      <c r="BT27" s="87">
        <v>1</v>
      </c>
      <c r="BU27" s="87">
        <v>2</v>
      </c>
      <c r="BV27" s="87">
        <v>1</v>
      </c>
      <c r="BW27" s="87">
        <v>2</v>
      </c>
      <c r="BX27" s="87">
        <v>1</v>
      </c>
      <c r="BY27" s="87">
        <v>2</v>
      </c>
      <c r="BZ27" s="87">
        <v>1</v>
      </c>
      <c r="CA27" s="87">
        <v>2</v>
      </c>
      <c r="CB27" s="87">
        <v>1</v>
      </c>
      <c r="CC27" s="87">
        <v>2</v>
      </c>
      <c r="CD27" s="87">
        <v>1</v>
      </c>
      <c r="CE27" s="87">
        <v>2</v>
      </c>
      <c r="CF27" s="87">
        <v>1</v>
      </c>
      <c r="CG27" s="87">
        <v>2</v>
      </c>
      <c r="CH27" s="87">
        <v>1</v>
      </c>
      <c r="CI27" s="87">
        <v>2</v>
      </c>
      <c r="CJ27" s="87">
        <v>1</v>
      </c>
      <c r="CK27" s="87">
        <v>2</v>
      </c>
      <c r="CL27" s="87">
        <v>1</v>
      </c>
      <c r="CM27" s="87">
        <v>2</v>
      </c>
      <c r="CN27" s="87">
        <v>1</v>
      </c>
      <c r="CO27" s="87">
        <v>2</v>
      </c>
      <c r="EK27" s="6"/>
    </row>
    <row r="28" spans="1:141" ht="16" thickBot="1" x14ac:dyDescent="0.4">
      <c r="A28" s="2" t="s">
        <v>195</v>
      </c>
      <c r="B28" s="56">
        <f>IF($B$2="","",IF(A28="","",VLOOKUP(A28,'[13]input hulpstof'!B4:N50,5,0)))</f>
        <v>1000</v>
      </c>
      <c r="C28" s="276">
        <f>IF(A28="","",VLOOKUP(A28,'[13]input hulpstof'!B4:N20,6,0))</f>
        <v>0.04</v>
      </c>
      <c r="D28" s="276"/>
      <c r="E28" s="84"/>
      <c r="F28" s="85">
        <f>VLOOKUP(A28,'[13]input hulpstof'!C6:P14,13,FALSE)</f>
        <v>0</v>
      </c>
      <c r="G28" s="85" t="str">
        <f>IF($B$2="","",IF(E28="","",(E28/B28)*1000))</f>
        <v/>
      </c>
      <c r="H28" s="85" t="str">
        <f t="shared" si="8"/>
        <v/>
      </c>
      <c r="I28" s="85" t="str">
        <f t="shared" si="8"/>
        <v/>
      </c>
      <c r="J28" s="86" t="str">
        <f>IF($B$2="","",IF(E28="","",(I28*B28)/1000))</f>
        <v/>
      </c>
      <c r="K28" s="85" t="str">
        <f>IF($B$2="","",IF(E28="","",J28))</f>
        <v/>
      </c>
      <c r="L28" s="60" t="str">
        <f>IF($B$2="","",IF(E28="","",K28/$J$33))</f>
        <v/>
      </c>
      <c r="M28" s="58"/>
      <c r="N28" s="85" t="str">
        <f>IF($B$2="","",IF(E28="","",J28-(J28*C28)))</f>
        <v/>
      </c>
      <c r="O28" s="61"/>
      <c r="P28" s="62"/>
      <c r="Q28" s="285"/>
      <c r="R28" s="286"/>
      <c r="AQ28" s="7"/>
      <c r="AT28" s="88" t="str">
        <f>IF(A19="","",A19)</f>
        <v>grof gebroken kalksteengranulaat 2/6 Ca4a I f2 NG</v>
      </c>
      <c r="AU28" s="30" t="e">
        <f t="shared" ref="AU28:AU33" si="9">IF(AW13="","",AW13)</f>
        <v>#VALUE!</v>
      </c>
      <c r="AV28" s="89" t="e">
        <f>IF(AT28="","",AU28/$AU$34)</f>
        <v>#VALUE!</v>
      </c>
      <c r="AW28" s="89" t="e">
        <f t="shared" ref="AW28:AW33" si="10">IF(AT28="","",AU28/$AU$36)</f>
        <v>#VALUE!</v>
      </c>
      <c r="AX28" s="30" t="e">
        <f>VLOOKUP($AT28,[14]granulometrie!$B$4:$X$52,2,0)</f>
        <v>#N/A</v>
      </c>
      <c r="AY28" s="30" t="e">
        <f t="shared" ref="AY28:AY33" si="11">IF($AX28="","",$AW28*AX28)</f>
        <v>#N/A</v>
      </c>
      <c r="AZ28" s="30" t="e">
        <f>VLOOKUP($AT28,[14]granulometrie!$B$4:$X$52,3,0)</f>
        <v>#N/A</v>
      </c>
      <c r="BA28" s="30" t="e">
        <f t="shared" ref="BA28:BA33" si="12">IF($AZ28="","",$AW28*AZ28)</f>
        <v>#N/A</v>
      </c>
      <c r="BB28" s="30" t="e">
        <f>VLOOKUP($AT28,[14]granulometrie!$B$4:$X$52,4,0)</f>
        <v>#N/A</v>
      </c>
      <c r="BC28" s="30" t="e">
        <f t="shared" ref="BC28:BC33" si="13">IF($BB28="","",$AW28*BB28)</f>
        <v>#N/A</v>
      </c>
      <c r="BD28" s="30" t="e">
        <f>VLOOKUP($AT28,[14]granulometrie!$B$4:$X$52,5,0)</f>
        <v>#N/A</v>
      </c>
      <c r="BE28" s="30" t="e">
        <f t="shared" ref="BE28:BE33" si="14">IF($BD28="","",$AW28*BD28)</f>
        <v>#N/A</v>
      </c>
      <c r="BF28" s="30" t="e">
        <f>VLOOKUP($AT28,[14]granulometrie!$B$4:$X$52,6,0)</f>
        <v>#N/A</v>
      </c>
      <c r="BG28" s="30" t="e">
        <f t="shared" ref="BG28:BG33" si="15">IF($BF28="","",$AW28*BF28)</f>
        <v>#N/A</v>
      </c>
      <c r="BH28" s="30" t="e">
        <f>VLOOKUP($AT28,[14]granulometrie!$B$4:$X$52,7,0)</f>
        <v>#N/A</v>
      </c>
      <c r="BI28" s="30" t="e">
        <f t="shared" ref="BI28:BI33" si="16">IF($BH28="","",$AW28*BH28)</f>
        <v>#N/A</v>
      </c>
      <c r="BJ28" s="30" t="e">
        <f>VLOOKUP($AT28,[14]granulometrie!$B$4:$X$52,8,0)</f>
        <v>#N/A</v>
      </c>
      <c r="BK28" s="30" t="e">
        <f t="shared" ref="BK28:BK33" si="17">IF($BJ28="","",$AW28*BJ28)</f>
        <v>#N/A</v>
      </c>
      <c r="BL28" s="30" t="e">
        <f>VLOOKUP($AT28,[14]granulometrie!$B$4:$X$52,9,0)</f>
        <v>#N/A</v>
      </c>
      <c r="BM28" s="30" t="e">
        <f t="shared" ref="BM28:BM33" si="18">IF($BL28="","",$AW28*BL28)</f>
        <v>#N/A</v>
      </c>
      <c r="BN28" s="30" t="e">
        <f>VLOOKUP($AT28,[14]granulometrie!$B$4:$X$52,10,0)</f>
        <v>#N/A</v>
      </c>
      <c r="BO28" s="30" t="e">
        <f t="shared" ref="BO28:BO33" si="19">IF($BN28="","",$AW28*BN28)</f>
        <v>#N/A</v>
      </c>
      <c r="BP28" s="30" t="e">
        <f>VLOOKUP($AT28,[14]granulometrie!$B$4:$X$52,11,0)</f>
        <v>#N/A</v>
      </c>
      <c r="BQ28" s="30" t="e">
        <f t="shared" ref="BQ28:BQ33" si="20">IF($BP28="","",$AW28*BP28)</f>
        <v>#N/A</v>
      </c>
      <c r="BR28" s="30" t="e">
        <f>VLOOKUP($AT28,[14]granulometrie!$B$4:$X$52,12,0)</f>
        <v>#N/A</v>
      </c>
      <c r="BS28" s="30" t="e">
        <f t="shared" ref="BS28:BS33" si="21">IF($BR28="","",$AW28*BR28)</f>
        <v>#N/A</v>
      </c>
      <c r="BT28" s="30" t="e">
        <f>VLOOKUP($AT28,[14]granulometrie!$B$4:$X$52,13,0)</f>
        <v>#N/A</v>
      </c>
      <c r="BU28" s="30" t="e">
        <f t="shared" ref="BU28:BU33" si="22">IF($BT28="","",$AW28*BT28)</f>
        <v>#N/A</v>
      </c>
      <c r="BV28" s="30" t="e">
        <f>VLOOKUP($AT28,[14]granulometrie!$B$4:$X$52,14,0)</f>
        <v>#N/A</v>
      </c>
      <c r="BW28" s="30" t="e">
        <f t="shared" ref="BW28:BW33" si="23">IF($BV28="","",$AW28*BV28)</f>
        <v>#N/A</v>
      </c>
      <c r="BX28" s="30" t="e">
        <f>VLOOKUP($AT28,[14]granulometrie!$B$4:$X$52,15,0)</f>
        <v>#N/A</v>
      </c>
      <c r="BY28" s="30" t="e">
        <f t="shared" ref="BY28:BY33" si="24">IF($BX28="","",$AW28*BX28)</f>
        <v>#N/A</v>
      </c>
      <c r="BZ28" s="30" t="e">
        <f>VLOOKUP($AT28,[14]granulometrie!$B$4:$X$52,16,0)</f>
        <v>#N/A</v>
      </c>
      <c r="CA28" s="30" t="e">
        <f t="shared" ref="CA28:CA33" si="25">IF($BZ28="","",$AW28*BZ28)</f>
        <v>#N/A</v>
      </c>
      <c r="CB28" s="30" t="e">
        <f>VLOOKUP($AT28,[14]granulometrie!$B$4:$X$52,17,0)</f>
        <v>#N/A</v>
      </c>
      <c r="CC28" s="30" t="e">
        <f t="shared" ref="CC28:CC33" si="26">IF($CB28="","",$AW28*CB28)</f>
        <v>#N/A</v>
      </c>
      <c r="CD28" s="30" t="e">
        <f>VLOOKUP($AT28,[14]granulometrie!$B$4:$X$52,18,0)</f>
        <v>#N/A</v>
      </c>
      <c r="CE28" s="30" t="e">
        <f t="shared" ref="CE28:CE33" si="27">IF($CD28="","",$AW28*CD28)</f>
        <v>#N/A</v>
      </c>
      <c r="CF28" s="30" t="e">
        <f>VLOOKUP($AT28,[14]granulometrie!$B$4:$X$52,19,0)</f>
        <v>#N/A</v>
      </c>
      <c r="CG28" s="30" t="e">
        <f t="shared" ref="CG28:CG33" si="28">IF($CF28="","",$AW28*CF28)</f>
        <v>#N/A</v>
      </c>
      <c r="CH28" s="30" t="e">
        <f>VLOOKUP($AT28,[14]granulometrie!$B$4:$X$52,20,0)</f>
        <v>#N/A</v>
      </c>
      <c r="CI28" s="30" t="e">
        <f t="shared" ref="CI28:CI33" si="29">IF($CH28="","",$AW28*CH28)</f>
        <v>#N/A</v>
      </c>
      <c r="CJ28" s="30" t="e">
        <f>VLOOKUP($AT28,[14]granulometrie!$B$4:$X$52,21,0)</f>
        <v>#N/A</v>
      </c>
      <c r="CK28" s="30" t="e">
        <f t="shared" ref="CK28:CK33" si="30">IF($CJ28="","",$AW28*CJ28)</f>
        <v>#N/A</v>
      </c>
      <c r="CL28" s="30" t="e">
        <f>VLOOKUP($AT28,[14]granulometrie!$B$4:$X$52,22,0)</f>
        <v>#N/A</v>
      </c>
      <c r="CM28" s="30" t="e">
        <f t="shared" ref="CM28:CM33" si="31">IF($CL28="","",$AW28*CL28)</f>
        <v>#N/A</v>
      </c>
      <c r="CN28" s="30" t="e">
        <f>VLOOKUP($AT28,[14]granulometrie!$B$4:$X$52,23,0)</f>
        <v>#N/A</v>
      </c>
      <c r="CO28" s="30" t="e">
        <f t="shared" ref="CO28:CO33" si="32">IF($CN28="","",$AW28*CN28)</f>
        <v>#N/A</v>
      </c>
      <c r="EK28" s="6"/>
    </row>
    <row r="29" spans="1:141" x14ac:dyDescent="0.35">
      <c r="A29" s="2"/>
      <c r="B29" s="56" t="str">
        <f>IF($B$2="","",IF(A29="","",VLOOKUP(A29,'[13]input hulpstof'!B4:N14,5,0)))</f>
        <v/>
      </c>
      <c r="C29" s="276" t="str">
        <f>IF(A29="","",VLOOKUP(A29,'[13]input hulpstof'!B4:N21,6,0))</f>
        <v/>
      </c>
      <c r="D29" s="276"/>
      <c r="E29" s="84"/>
      <c r="F29" s="85" t="e">
        <f>VLOOKUP(A29,'[13]input hulpstof'!C6:P15,13,FALSE)</f>
        <v>#N/A</v>
      </c>
      <c r="G29" s="85" t="str">
        <f>IF($B$2="","",IF(E29="","",(E29/B29)*1000))</f>
        <v/>
      </c>
      <c r="H29" s="85" t="str">
        <f t="shared" si="8"/>
        <v/>
      </c>
      <c r="I29" s="85" t="str">
        <f t="shared" si="8"/>
        <v/>
      </c>
      <c r="J29" s="86" t="str">
        <f>IF($B$2="","",IF(E29="","",(I29*B29)/1000))</f>
        <v/>
      </c>
      <c r="K29" s="85" t="str">
        <f>IF($B$2="","",IF(E29="","",J29))</f>
        <v/>
      </c>
      <c r="L29" s="60" t="str">
        <f>IF($B$2="","",IF(E29="","",K29/$J$33))</f>
        <v/>
      </c>
      <c r="M29" s="58"/>
      <c r="N29" s="85" t="str">
        <f>IF($B$2="","",IF(E29="","",J29-(J29*C29)))</f>
        <v/>
      </c>
      <c r="O29" s="61"/>
      <c r="P29" s="62"/>
      <c r="AQ29" s="7"/>
      <c r="AT29" s="88" t="str">
        <f>IF(A20="","",A20)</f>
        <v/>
      </c>
      <c r="AU29" s="30" t="str">
        <f t="shared" si="9"/>
        <v/>
      </c>
      <c r="AV29" s="89" t="str">
        <f>IF(AT29="","",AU29/$AU$34)</f>
        <v/>
      </c>
      <c r="AW29" s="89" t="str">
        <f t="shared" si="10"/>
        <v/>
      </c>
      <c r="AX29" s="30" t="str">
        <f>VLOOKUP($AT29,[14]granulometrie!$B$4:$X$52,2,0)</f>
        <v/>
      </c>
      <c r="AY29" s="30" t="str">
        <f t="shared" si="11"/>
        <v/>
      </c>
      <c r="AZ29" s="30" t="str">
        <f>VLOOKUP($AT29,[14]granulometrie!$B$4:$X$52,3,0)</f>
        <v/>
      </c>
      <c r="BA29" s="30" t="str">
        <f t="shared" si="12"/>
        <v/>
      </c>
      <c r="BB29" s="30" t="str">
        <f>VLOOKUP($AT29,[14]granulometrie!$B$4:$X$52,4,0)</f>
        <v/>
      </c>
      <c r="BC29" s="30" t="str">
        <f t="shared" si="13"/>
        <v/>
      </c>
      <c r="BD29" s="30" t="str">
        <f>VLOOKUP($AT29,[14]granulometrie!$B$4:$X$52,5,0)</f>
        <v/>
      </c>
      <c r="BE29" s="30" t="str">
        <f t="shared" si="14"/>
        <v/>
      </c>
      <c r="BF29" s="30" t="str">
        <f>VLOOKUP($AT29,[14]granulometrie!$B$4:$X$52,6,0)</f>
        <v/>
      </c>
      <c r="BG29" s="30" t="str">
        <f t="shared" si="15"/>
        <v/>
      </c>
      <c r="BH29" s="30" t="str">
        <f>VLOOKUP($AT29,[14]granulometrie!$B$4:$X$52,7,0)</f>
        <v/>
      </c>
      <c r="BI29" s="30" t="str">
        <f t="shared" si="16"/>
        <v/>
      </c>
      <c r="BJ29" s="30" t="str">
        <f>VLOOKUP($AT29,[14]granulometrie!$B$4:$X$52,8,0)</f>
        <v/>
      </c>
      <c r="BK29" s="30" t="str">
        <f t="shared" si="17"/>
        <v/>
      </c>
      <c r="BL29" s="30" t="str">
        <f>VLOOKUP($AT29,[14]granulometrie!$B$4:$X$52,9,0)</f>
        <v/>
      </c>
      <c r="BM29" s="30" t="str">
        <f t="shared" si="18"/>
        <v/>
      </c>
      <c r="BN29" s="30" t="str">
        <f>VLOOKUP($AT29,[14]granulometrie!$B$4:$X$52,10,0)</f>
        <v/>
      </c>
      <c r="BO29" s="30" t="str">
        <f t="shared" si="19"/>
        <v/>
      </c>
      <c r="BP29" s="30" t="str">
        <f>VLOOKUP($AT29,[14]granulometrie!$B$4:$X$52,11,0)</f>
        <v/>
      </c>
      <c r="BQ29" s="30" t="str">
        <f t="shared" si="20"/>
        <v/>
      </c>
      <c r="BR29" s="30" t="str">
        <f>VLOOKUP($AT29,[14]granulometrie!$B$4:$X$52,12,0)</f>
        <v/>
      </c>
      <c r="BS29" s="30" t="str">
        <f t="shared" si="21"/>
        <v/>
      </c>
      <c r="BT29" s="30" t="str">
        <f>VLOOKUP($AT29,[14]granulometrie!$B$4:$X$52,13,0)</f>
        <v/>
      </c>
      <c r="BU29" s="30" t="str">
        <f t="shared" si="22"/>
        <v/>
      </c>
      <c r="BV29" s="30" t="str">
        <f>VLOOKUP($AT29,[14]granulometrie!$B$4:$X$52,14,0)</f>
        <v/>
      </c>
      <c r="BW29" s="30" t="str">
        <f t="shared" si="23"/>
        <v/>
      </c>
      <c r="BX29" s="30" t="str">
        <f>VLOOKUP($AT29,[14]granulometrie!$B$4:$X$52,15,0)</f>
        <v/>
      </c>
      <c r="BY29" s="30" t="str">
        <f t="shared" si="24"/>
        <v/>
      </c>
      <c r="BZ29" s="30" t="str">
        <f>VLOOKUP($AT29,[14]granulometrie!$B$4:$X$52,16,0)</f>
        <v/>
      </c>
      <c r="CA29" s="30" t="str">
        <f t="shared" si="25"/>
        <v/>
      </c>
      <c r="CB29" s="30" t="str">
        <f>VLOOKUP($AT29,[14]granulometrie!$B$4:$X$52,17,0)</f>
        <v/>
      </c>
      <c r="CC29" s="30" t="str">
        <f t="shared" si="26"/>
        <v/>
      </c>
      <c r="CD29" s="30" t="str">
        <f>VLOOKUP($AT29,[14]granulometrie!$B$4:$X$52,18,0)</f>
        <v/>
      </c>
      <c r="CE29" s="30" t="str">
        <f t="shared" si="27"/>
        <v/>
      </c>
      <c r="CF29" s="30" t="str">
        <f>VLOOKUP($AT29,[14]granulometrie!$B$4:$X$52,19,0)</f>
        <v/>
      </c>
      <c r="CG29" s="30" t="str">
        <f t="shared" si="28"/>
        <v/>
      </c>
      <c r="CH29" s="30" t="str">
        <f>VLOOKUP($AT29,[14]granulometrie!$B$4:$X$52,20,0)</f>
        <v/>
      </c>
      <c r="CI29" s="30" t="str">
        <f t="shared" si="29"/>
        <v/>
      </c>
      <c r="CJ29" s="30" t="str">
        <f>VLOOKUP($AT29,[14]granulometrie!$B$4:$X$52,21,0)</f>
        <v/>
      </c>
      <c r="CK29" s="30" t="str">
        <f t="shared" si="30"/>
        <v/>
      </c>
      <c r="CL29" s="30" t="str">
        <f>VLOOKUP($AT29,[14]granulometrie!$B$4:$X$52,22,0)</f>
        <v/>
      </c>
      <c r="CM29" s="30" t="str">
        <f t="shared" si="31"/>
        <v/>
      </c>
      <c r="CN29" s="30" t="str">
        <f>VLOOKUP($AT29,[14]granulometrie!$B$4:$X$52,23,0)</f>
        <v/>
      </c>
      <c r="CO29" s="30" t="str">
        <f t="shared" si="32"/>
        <v/>
      </c>
      <c r="EK29" s="6"/>
    </row>
    <row r="30" spans="1:141" x14ac:dyDescent="0.35">
      <c r="A30" s="68" t="s">
        <v>75</v>
      </c>
      <c r="B30" s="56"/>
      <c r="C30" s="277"/>
      <c r="D30" s="277"/>
      <c r="E30" s="69"/>
      <c r="F30" s="90" t="s">
        <v>68</v>
      </c>
      <c r="G30" s="30">
        <f>IF($B$2="","",SUM($E$11:$E$13,$F$15:$F$17))</f>
        <v>0</v>
      </c>
      <c r="H30" s="58"/>
      <c r="I30" s="30" t="e">
        <f>IF(B2="","",SUM($H$19:$H$21,$H$23:$H$25))</f>
        <v>#VALUE!</v>
      </c>
      <c r="J30" s="71"/>
      <c r="K30" s="58"/>
      <c r="L30" s="58"/>
      <c r="M30" s="90" t="s">
        <v>76</v>
      </c>
      <c r="N30" s="85">
        <f>IF($B$2="","",IF(G31="","",SUM($N$27:$N$29)))</f>
        <v>0</v>
      </c>
      <c r="O30" s="91" t="s">
        <v>76</v>
      </c>
      <c r="P30" s="92" t="e">
        <f>SUM(P11:P25)</f>
        <v>#VALUE!</v>
      </c>
      <c r="Q30" s="48" t="s">
        <v>77</v>
      </c>
      <c r="AQ30" s="7"/>
      <c r="AT30" s="88" t="str">
        <f>IF(A21="","",A21)</f>
        <v/>
      </c>
      <c r="AU30" s="30" t="str">
        <f t="shared" si="9"/>
        <v/>
      </c>
      <c r="AV30" s="89" t="str">
        <f>IF(AT30="","",AU30/$AU$34)</f>
        <v/>
      </c>
      <c r="AW30" s="89" t="str">
        <f t="shared" si="10"/>
        <v/>
      </c>
      <c r="AX30" s="30" t="str">
        <f>VLOOKUP($AT30,[14]granulometrie!$B$4:$X$52,2,0)</f>
        <v/>
      </c>
      <c r="AY30" s="30" t="str">
        <f t="shared" si="11"/>
        <v/>
      </c>
      <c r="AZ30" s="30" t="str">
        <f>VLOOKUP($AT30,[14]granulometrie!$B$4:$X$52,3,0)</f>
        <v/>
      </c>
      <c r="BA30" s="30" t="str">
        <f t="shared" si="12"/>
        <v/>
      </c>
      <c r="BB30" s="30" t="str">
        <f>VLOOKUP($AT30,[14]granulometrie!$B$4:$X$52,4,0)</f>
        <v/>
      </c>
      <c r="BC30" s="30" t="str">
        <f t="shared" si="13"/>
        <v/>
      </c>
      <c r="BD30" s="30" t="str">
        <f>VLOOKUP($AT30,[14]granulometrie!$B$4:$X$52,5,0)</f>
        <v/>
      </c>
      <c r="BE30" s="30" t="str">
        <f t="shared" si="14"/>
        <v/>
      </c>
      <c r="BF30" s="30" t="str">
        <f>VLOOKUP($AT30,[14]granulometrie!$B$4:$X$52,6,0)</f>
        <v/>
      </c>
      <c r="BG30" s="30" t="str">
        <f t="shared" si="15"/>
        <v/>
      </c>
      <c r="BH30" s="30" t="str">
        <f>VLOOKUP($AT30,[14]granulometrie!$B$4:$X$52,7,0)</f>
        <v/>
      </c>
      <c r="BI30" s="30" t="str">
        <f t="shared" si="16"/>
        <v/>
      </c>
      <c r="BJ30" s="30" t="str">
        <f>VLOOKUP($AT30,[14]granulometrie!$B$4:$X$52,8,0)</f>
        <v/>
      </c>
      <c r="BK30" s="30" t="str">
        <f t="shared" si="17"/>
        <v/>
      </c>
      <c r="BL30" s="30" t="str">
        <f>VLOOKUP($AT30,[14]granulometrie!$B$4:$X$52,9,0)</f>
        <v/>
      </c>
      <c r="BM30" s="30" t="str">
        <f t="shared" si="18"/>
        <v/>
      </c>
      <c r="BN30" s="30" t="str">
        <f>VLOOKUP($AT30,[14]granulometrie!$B$4:$X$52,10,0)</f>
        <v/>
      </c>
      <c r="BO30" s="30" t="str">
        <f t="shared" si="19"/>
        <v/>
      </c>
      <c r="BP30" s="30" t="str">
        <f>VLOOKUP($AT30,[14]granulometrie!$B$4:$X$52,11,0)</f>
        <v/>
      </c>
      <c r="BQ30" s="30" t="str">
        <f t="shared" si="20"/>
        <v/>
      </c>
      <c r="BR30" s="30" t="str">
        <f>VLOOKUP($AT30,[14]granulometrie!$B$4:$X$52,12,0)</f>
        <v/>
      </c>
      <c r="BS30" s="30" t="str">
        <f t="shared" si="21"/>
        <v/>
      </c>
      <c r="BT30" s="30" t="str">
        <f>VLOOKUP($AT30,[14]granulometrie!$B$4:$X$52,13,0)</f>
        <v/>
      </c>
      <c r="BU30" s="30" t="str">
        <f t="shared" si="22"/>
        <v/>
      </c>
      <c r="BV30" s="30" t="str">
        <f>VLOOKUP($AT30,[14]granulometrie!$B$4:$X$52,14,0)</f>
        <v/>
      </c>
      <c r="BW30" s="30" t="str">
        <f t="shared" si="23"/>
        <v/>
      </c>
      <c r="BX30" s="30" t="str">
        <f>VLOOKUP($AT30,[14]granulometrie!$B$4:$X$52,15,0)</f>
        <v/>
      </c>
      <c r="BY30" s="30" t="str">
        <f t="shared" si="24"/>
        <v/>
      </c>
      <c r="BZ30" s="30" t="str">
        <f>VLOOKUP($AT30,[14]granulometrie!$B$4:$X$52,16,0)</f>
        <v/>
      </c>
      <c r="CA30" s="30" t="str">
        <f t="shared" si="25"/>
        <v/>
      </c>
      <c r="CB30" s="30" t="str">
        <f>VLOOKUP($AT30,[14]granulometrie!$B$4:$X$52,17,0)</f>
        <v/>
      </c>
      <c r="CC30" s="30" t="str">
        <f t="shared" si="26"/>
        <v/>
      </c>
      <c r="CD30" s="30" t="str">
        <f>VLOOKUP($AT30,[14]granulometrie!$B$4:$X$52,18,0)</f>
        <v/>
      </c>
      <c r="CE30" s="30" t="str">
        <f t="shared" si="27"/>
        <v/>
      </c>
      <c r="CF30" s="30" t="str">
        <f>VLOOKUP($AT30,[14]granulometrie!$B$4:$X$52,19,0)</f>
        <v/>
      </c>
      <c r="CG30" s="30" t="str">
        <f t="shared" si="28"/>
        <v/>
      </c>
      <c r="CH30" s="30" t="str">
        <f>VLOOKUP($AT30,[14]granulometrie!$B$4:$X$52,20,0)</f>
        <v/>
      </c>
      <c r="CI30" s="30" t="str">
        <f t="shared" si="29"/>
        <v/>
      </c>
      <c r="CJ30" s="30" t="str">
        <f>VLOOKUP($AT30,[14]granulometrie!$B$4:$X$52,21,0)</f>
        <v/>
      </c>
      <c r="CK30" s="30" t="str">
        <f t="shared" si="30"/>
        <v/>
      </c>
      <c r="CL30" s="30" t="str">
        <f>VLOOKUP($AT30,[14]granulometrie!$B$4:$X$52,22,0)</f>
        <v/>
      </c>
      <c r="CM30" s="30" t="str">
        <f t="shared" si="31"/>
        <v/>
      </c>
      <c r="CN30" s="30" t="str">
        <f>VLOOKUP($AT30,[14]granulometrie!$B$4:$X$52,23,0)</f>
        <v/>
      </c>
      <c r="CO30" s="30" t="str">
        <f t="shared" si="32"/>
        <v/>
      </c>
      <c r="EK30" s="6"/>
    </row>
    <row r="31" spans="1:141" x14ac:dyDescent="0.35">
      <c r="A31" s="2" t="s">
        <v>78</v>
      </c>
      <c r="B31" s="56">
        <f>IF($B$2="","",IF(A31="","",VLOOKUP(A31,'[14]input andere'!$B$4:$N$53,5,0)))</f>
        <v>1000</v>
      </c>
      <c r="C31" s="277"/>
      <c r="D31" s="277"/>
      <c r="E31" s="93"/>
      <c r="F31" s="90" t="s">
        <v>79</v>
      </c>
      <c r="G31" s="30">
        <f>IF($B$2="","",$B$5*SUM($E$11:$E$13,$F$15:$F$17))</f>
        <v>0</v>
      </c>
      <c r="H31" s="30">
        <f>IF(G31="","",G31)</f>
        <v>0</v>
      </c>
      <c r="I31" s="30">
        <f>IF(H31="","",H31)</f>
        <v>0</v>
      </c>
      <c r="J31" s="59">
        <f>IF($I$31="","",($I$31-$N$30))</f>
        <v>0</v>
      </c>
      <c r="K31" s="30">
        <f>IF($I$31="","",$I$31)</f>
        <v>0</v>
      </c>
      <c r="L31" s="60" t="e">
        <f>IF($B$2="","",IF(K31="","",K31/$J$33))</f>
        <v>#VALUE!</v>
      </c>
      <c r="M31" s="58"/>
      <c r="N31" s="30">
        <f>IF($B$2="","",IF($G$31="","",$J$31))</f>
        <v>0</v>
      </c>
      <c r="O31" s="91" t="s">
        <v>80</v>
      </c>
      <c r="P31" s="94">
        <v>10</v>
      </c>
      <c r="Q31" s="95">
        <f>SUM(I11:I13,I15:I17)+J31</f>
        <v>0</v>
      </c>
      <c r="AQ31" s="7"/>
      <c r="AT31" s="88" t="str">
        <f>IF(A23="","",A23)</f>
        <v/>
      </c>
      <c r="AU31" s="30" t="str">
        <f t="shared" si="9"/>
        <v/>
      </c>
      <c r="AV31" s="89" t="str">
        <f>IF(AT31="","",AU31/$AU$36)</f>
        <v/>
      </c>
      <c r="AW31" s="89" t="str">
        <f t="shared" si="10"/>
        <v/>
      </c>
      <c r="AX31" s="30" t="str">
        <f>VLOOKUP($AT31,[14]granulometrie!$B$4:$X$52,2,0)</f>
        <v/>
      </c>
      <c r="AY31" s="30" t="str">
        <f t="shared" si="11"/>
        <v/>
      </c>
      <c r="AZ31" s="30" t="str">
        <f>VLOOKUP($AT31,[14]granulometrie!$B$4:$X$52,3,0)</f>
        <v/>
      </c>
      <c r="BA31" s="30" t="str">
        <f t="shared" si="12"/>
        <v/>
      </c>
      <c r="BB31" s="30" t="str">
        <f>VLOOKUP($AT31,[14]granulometrie!$B$4:$X$52,4,0)</f>
        <v/>
      </c>
      <c r="BC31" s="30" t="str">
        <f t="shared" si="13"/>
        <v/>
      </c>
      <c r="BD31" s="30" t="str">
        <f>VLOOKUP($AT31,[14]granulometrie!$B$4:$X$52,5,0)</f>
        <v/>
      </c>
      <c r="BE31" s="30" t="str">
        <f t="shared" si="14"/>
        <v/>
      </c>
      <c r="BF31" s="30" t="str">
        <f>VLOOKUP($AT31,[14]granulometrie!$B$4:$X$52,6,0)</f>
        <v/>
      </c>
      <c r="BG31" s="30" t="str">
        <f t="shared" si="15"/>
        <v/>
      </c>
      <c r="BH31" s="30" t="str">
        <f>VLOOKUP($AT31,[14]granulometrie!$B$4:$X$52,7,0)</f>
        <v/>
      </c>
      <c r="BI31" s="30" t="str">
        <f t="shared" si="16"/>
        <v/>
      </c>
      <c r="BJ31" s="30" t="str">
        <f>VLOOKUP($AT31,[14]granulometrie!$B$4:$X$52,8,0)</f>
        <v/>
      </c>
      <c r="BK31" s="30" t="str">
        <f t="shared" si="17"/>
        <v/>
      </c>
      <c r="BL31" s="30" t="str">
        <f>VLOOKUP($AT31,[14]granulometrie!$B$4:$X$52,9,0)</f>
        <v/>
      </c>
      <c r="BM31" s="30" t="str">
        <f t="shared" si="18"/>
        <v/>
      </c>
      <c r="BN31" s="30" t="str">
        <f>VLOOKUP($AT31,[14]granulometrie!$B$4:$X$52,10,0)</f>
        <v/>
      </c>
      <c r="BO31" s="30" t="str">
        <f t="shared" si="19"/>
        <v/>
      </c>
      <c r="BP31" s="30" t="str">
        <f>VLOOKUP($AT31,[14]granulometrie!$B$4:$X$52,11,0)</f>
        <v/>
      </c>
      <c r="BQ31" s="30" t="str">
        <f t="shared" si="20"/>
        <v/>
      </c>
      <c r="BR31" s="30" t="str">
        <f>VLOOKUP($AT31,[14]granulometrie!$B$4:$X$52,12,0)</f>
        <v/>
      </c>
      <c r="BS31" s="30" t="str">
        <f t="shared" si="21"/>
        <v/>
      </c>
      <c r="BT31" s="30" t="str">
        <f>VLOOKUP($AT31,[14]granulometrie!$B$4:$X$52,13,0)</f>
        <v/>
      </c>
      <c r="BU31" s="30" t="str">
        <f t="shared" si="22"/>
        <v/>
      </c>
      <c r="BV31" s="30" t="str">
        <f>VLOOKUP($AT31,[14]granulometrie!$B$4:$X$52,14,0)</f>
        <v/>
      </c>
      <c r="BW31" s="30" t="str">
        <f t="shared" si="23"/>
        <v/>
      </c>
      <c r="BX31" s="30" t="str">
        <f>VLOOKUP($AT31,[14]granulometrie!$B$4:$X$52,15,0)</f>
        <v/>
      </c>
      <c r="BY31" s="30" t="str">
        <f t="shared" si="24"/>
        <v/>
      </c>
      <c r="BZ31" s="30" t="str">
        <f>VLOOKUP($AT31,[14]granulometrie!$B$4:$X$52,16,0)</f>
        <v/>
      </c>
      <c r="CA31" s="30" t="str">
        <f t="shared" si="25"/>
        <v/>
      </c>
      <c r="CB31" s="30" t="str">
        <f>VLOOKUP($AT31,[14]granulometrie!$B$4:$X$52,17,0)</f>
        <v/>
      </c>
      <c r="CC31" s="30" t="str">
        <f t="shared" si="26"/>
        <v/>
      </c>
      <c r="CD31" s="30" t="str">
        <f>VLOOKUP($AT31,[14]granulometrie!$B$4:$X$52,18,0)</f>
        <v/>
      </c>
      <c r="CE31" s="30" t="str">
        <f t="shared" si="27"/>
        <v/>
      </c>
      <c r="CF31" s="30" t="str">
        <f>VLOOKUP($AT31,[14]granulometrie!$B$4:$X$52,19,0)</f>
        <v/>
      </c>
      <c r="CG31" s="30" t="str">
        <f t="shared" si="28"/>
        <v/>
      </c>
      <c r="CH31" s="30" t="str">
        <f>VLOOKUP($AT31,[14]granulometrie!$B$4:$X$52,20,0)</f>
        <v/>
      </c>
      <c r="CI31" s="30" t="str">
        <f t="shared" si="29"/>
        <v/>
      </c>
      <c r="CJ31" s="30" t="str">
        <f>VLOOKUP($AT31,[14]granulometrie!$B$4:$X$52,21,0)</f>
        <v/>
      </c>
      <c r="CK31" s="30" t="str">
        <f t="shared" si="30"/>
        <v/>
      </c>
      <c r="CL31" s="30" t="str">
        <f>VLOOKUP($AT31,[14]granulometrie!$B$4:$X$52,22,0)</f>
        <v/>
      </c>
      <c r="CM31" s="30" t="str">
        <f t="shared" si="31"/>
        <v/>
      </c>
      <c r="CN31" s="30" t="str">
        <f>VLOOKUP($AT31,[14]granulometrie!$B$4:$X$52,23,0)</f>
        <v/>
      </c>
      <c r="CO31" s="30" t="str">
        <f t="shared" si="32"/>
        <v/>
      </c>
      <c r="EK31" s="6"/>
    </row>
    <row r="32" spans="1:141" ht="15" customHeight="1" x14ac:dyDescent="0.35">
      <c r="A32" s="96"/>
      <c r="B32" s="56" t="str">
        <f>IF($B$2="","",IF(A32="","",VLOOKUP(A32,'[14]input andere'!$B$4:$N$53,5,0)))</f>
        <v/>
      </c>
      <c r="C32" s="277"/>
      <c r="D32" s="277"/>
      <c r="E32" s="97"/>
      <c r="F32" s="90" t="s">
        <v>81</v>
      </c>
      <c r="G32" s="30" t="e">
        <f>IF($B$2="","",SUM($G$11:$G$13,$G$15:$G$17,$G$19:$G$21,$G$23:$G$25,$G$27:$G$29))</f>
        <v>#VALUE!</v>
      </c>
      <c r="H32" s="30" t="e">
        <f>IF($B$2="","",SUM($H$11:$H$13,$H$15:$H$17,$H$19:$H$21,$H$23:$H$25,$H$27:$H$29))</f>
        <v>#VALUE!</v>
      </c>
      <c r="I32" s="30">
        <f>IF($B$2="","",SUM($I$11:$I$13,$I$15:$I$17,$I$27:$I$29))</f>
        <v>0</v>
      </c>
      <c r="J32" s="59" t="e">
        <f>IF($B$2="","",SUM($J$11:$J$13,$J$15:$J$17,$J$19:$J$21,$J$23:$J$25,$J$27:$J$29))</f>
        <v>#VALUE!</v>
      </c>
      <c r="K32" s="278" t="s">
        <v>82</v>
      </c>
      <c r="L32" s="279"/>
      <c r="M32" s="280"/>
      <c r="N32" s="30" t="e">
        <f>IF($B$2="","",SUM($N$19:$N$21,$N$23:$N$25))</f>
        <v>#VALUE!</v>
      </c>
      <c r="O32" s="61"/>
      <c r="Q32" s="98" t="s">
        <v>83</v>
      </c>
      <c r="R32" s="99"/>
      <c r="AQ32" s="7"/>
      <c r="AT32" s="88" t="str">
        <f>IF(A24="","",A24)</f>
        <v>Rond Zand (0/4) CF A f3 a CB SA gewassen - speciaal</v>
      </c>
      <c r="AU32" s="30" t="e">
        <f t="shared" si="9"/>
        <v>#VALUE!</v>
      </c>
      <c r="AV32" s="89" t="e">
        <f>IF(AT32="","",AU32/$AU$36)</f>
        <v>#VALUE!</v>
      </c>
      <c r="AW32" s="89" t="e">
        <f t="shared" si="10"/>
        <v>#VALUE!</v>
      </c>
      <c r="AX32" s="30" t="e">
        <f>VLOOKUP($AT32,[14]granulometrie!$B$4:$X$52,2,0)</f>
        <v>#N/A</v>
      </c>
      <c r="AY32" s="30" t="e">
        <f t="shared" si="11"/>
        <v>#N/A</v>
      </c>
      <c r="AZ32" s="30" t="e">
        <f>VLOOKUP($AT32,[14]granulometrie!$B$4:$X$52,3,0)</f>
        <v>#N/A</v>
      </c>
      <c r="BA32" s="30" t="e">
        <f t="shared" si="12"/>
        <v>#N/A</v>
      </c>
      <c r="BB32" s="30" t="e">
        <f>VLOOKUP($AT32,[14]granulometrie!$B$4:$X$52,4,0)</f>
        <v>#N/A</v>
      </c>
      <c r="BC32" s="30" t="e">
        <f t="shared" si="13"/>
        <v>#N/A</v>
      </c>
      <c r="BD32" s="30" t="e">
        <f>VLOOKUP($AT32,[14]granulometrie!$B$4:$X$52,5,0)</f>
        <v>#N/A</v>
      </c>
      <c r="BE32" s="30" t="e">
        <f t="shared" si="14"/>
        <v>#N/A</v>
      </c>
      <c r="BF32" s="30" t="e">
        <f>VLOOKUP($AT32,[14]granulometrie!$B$4:$X$52,6,0)</f>
        <v>#N/A</v>
      </c>
      <c r="BG32" s="30" t="e">
        <f t="shared" si="15"/>
        <v>#N/A</v>
      </c>
      <c r="BH32" s="30" t="e">
        <f>VLOOKUP($AT32,[14]granulometrie!$B$4:$X$52,7,0)</f>
        <v>#N/A</v>
      </c>
      <c r="BI32" s="30" t="e">
        <f t="shared" si="16"/>
        <v>#N/A</v>
      </c>
      <c r="BJ32" s="30" t="e">
        <f>VLOOKUP($AT32,[14]granulometrie!$B$4:$X$52,8,0)</f>
        <v>#N/A</v>
      </c>
      <c r="BK32" s="30" t="e">
        <f t="shared" si="17"/>
        <v>#N/A</v>
      </c>
      <c r="BL32" s="30" t="e">
        <f>VLOOKUP($AT32,[14]granulometrie!$B$4:$X$52,9,0)</f>
        <v>#N/A</v>
      </c>
      <c r="BM32" s="30" t="e">
        <f t="shared" si="18"/>
        <v>#N/A</v>
      </c>
      <c r="BN32" s="30" t="e">
        <f>VLOOKUP($AT32,[14]granulometrie!$B$4:$X$52,10,0)</f>
        <v>#N/A</v>
      </c>
      <c r="BO32" s="30" t="e">
        <f t="shared" si="19"/>
        <v>#N/A</v>
      </c>
      <c r="BP32" s="30" t="e">
        <f>VLOOKUP($AT32,[14]granulometrie!$B$4:$X$52,11,0)</f>
        <v>#N/A</v>
      </c>
      <c r="BQ32" s="30" t="e">
        <f t="shared" si="20"/>
        <v>#N/A</v>
      </c>
      <c r="BR32" s="30" t="e">
        <f>VLOOKUP($AT32,[14]granulometrie!$B$4:$X$52,12,0)</f>
        <v>#N/A</v>
      </c>
      <c r="BS32" s="30" t="e">
        <f t="shared" si="21"/>
        <v>#N/A</v>
      </c>
      <c r="BT32" s="30" t="e">
        <f>VLOOKUP($AT32,[14]granulometrie!$B$4:$X$52,13,0)</f>
        <v>#N/A</v>
      </c>
      <c r="BU32" s="30" t="e">
        <f t="shared" si="22"/>
        <v>#N/A</v>
      </c>
      <c r="BV32" s="30" t="e">
        <f>VLOOKUP($AT32,[14]granulometrie!$B$4:$X$52,14,0)</f>
        <v>#N/A</v>
      </c>
      <c r="BW32" s="30" t="e">
        <f t="shared" si="23"/>
        <v>#N/A</v>
      </c>
      <c r="BX32" s="30" t="e">
        <f>VLOOKUP($AT32,[14]granulometrie!$B$4:$X$52,15,0)</f>
        <v>#N/A</v>
      </c>
      <c r="BY32" s="30" t="e">
        <f t="shared" si="24"/>
        <v>#N/A</v>
      </c>
      <c r="BZ32" s="30" t="e">
        <f>VLOOKUP($AT32,[14]granulometrie!$B$4:$X$52,16,0)</f>
        <v>#N/A</v>
      </c>
      <c r="CA32" s="30" t="e">
        <f t="shared" si="25"/>
        <v>#N/A</v>
      </c>
      <c r="CB32" s="30" t="e">
        <f>VLOOKUP($AT32,[14]granulometrie!$B$4:$X$52,17,0)</f>
        <v>#N/A</v>
      </c>
      <c r="CC32" s="30" t="e">
        <f t="shared" si="26"/>
        <v>#N/A</v>
      </c>
      <c r="CD32" s="30" t="e">
        <f>VLOOKUP($AT32,[14]granulometrie!$B$4:$X$52,18,0)</f>
        <v>#N/A</v>
      </c>
      <c r="CE32" s="30" t="e">
        <f t="shared" si="27"/>
        <v>#N/A</v>
      </c>
      <c r="CF32" s="30" t="e">
        <f>VLOOKUP($AT32,[14]granulometrie!$B$4:$X$52,19,0)</f>
        <v>#N/A</v>
      </c>
      <c r="CG32" s="30" t="e">
        <f t="shared" si="28"/>
        <v>#N/A</v>
      </c>
      <c r="CH32" s="30" t="e">
        <f>VLOOKUP($AT32,[14]granulometrie!$B$4:$X$52,20,0)</f>
        <v>#N/A</v>
      </c>
      <c r="CI32" s="30" t="e">
        <f t="shared" si="29"/>
        <v>#N/A</v>
      </c>
      <c r="CJ32" s="30" t="e">
        <f>VLOOKUP($AT32,[14]granulometrie!$B$4:$X$52,21,0)</f>
        <v>#N/A</v>
      </c>
      <c r="CK32" s="30" t="e">
        <f t="shared" si="30"/>
        <v>#N/A</v>
      </c>
      <c r="CL32" s="30" t="e">
        <f>VLOOKUP($AT32,[14]granulometrie!$B$4:$X$52,22,0)</f>
        <v>#N/A</v>
      </c>
      <c r="CM32" s="30" t="e">
        <f t="shared" si="31"/>
        <v>#N/A</v>
      </c>
      <c r="CN32" s="30" t="e">
        <f>VLOOKUP($AT32,[14]granulometrie!$B$4:$X$52,23,0)</f>
        <v>#N/A</v>
      </c>
      <c r="CO32" s="30" t="e">
        <f t="shared" si="32"/>
        <v>#N/A</v>
      </c>
      <c r="EK32" s="6"/>
    </row>
    <row r="33" spans="1:141" ht="15.75" customHeight="1" x14ac:dyDescent="0.35">
      <c r="F33" s="90" t="s">
        <v>76</v>
      </c>
      <c r="G33" s="30" t="e">
        <f>IF($B$2="","",SUM($G$31,$G$32))</f>
        <v>#VALUE!</v>
      </c>
      <c r="H33" s="30" t="e">
        <f>IF($B$2="","",SUM($H$31,$H$32))</f>
        <v>#VALUE!</v>
      </c>
      <c r="I33" s="30">
        <f>IF($B$2="","",(1000-(1000*$E$5)))</f>
        <v>980</v>
      </c>
      <c r="J33" s="59" t="e">
        <f>IF($B$2="","",SUM($J$31,$J$32))</f>
        <v>#VALUE!</v>
      </c>
      <c r="K33" s="30"/>
      <c r="L33" s="81"/>
      <c r="M33" s="100"/>
      <c r="N33" s="30" t="e">
        <f>IF($B$2="","",IF($G$31="","",SUM($J$33,$N$32)))</f>
        <v>#VALUE!</v>
      </c>
      <c r="O33" s="61"/>
      <c r="Q33" s="281">
        <f>SUM(J11:J17)</f>
        <v>0</v>
      </c>
      <c r="R33" s="281"/>
      <c r="AQ33" s="7"/>
      <c r="AT33" s="88" t="str">
        <f>IF(A25="","",A25)</f>
        <v/>
      </c>
      <c r="AU33" s="30" t="str">
        <f t="shared" si="9"/>
        <v/>
      </c>
      <c r="AV33" s="89" t="str">
        <f>IF(AT33="","",AU33/$AU$36)</f>
        <v/>
      </c>
      <c r="AW33" s="89" t="str">
        <f t="shared" si="10"/>
        <v/>
      </c>
      <c r="AX33" s="30" t="str">
        <f>VLOOKUP($AT33,[14]granulometrie!$B$4:$X$52,2,0)</f>
        <v/>
      </c>
      <c r="AY33" s="30" t="str">
        <f t="shared" si="11"/>
        <v/>
      </c>
      <c r="AZ33" s="30" t="str">
        <f>VLOOKUP($AT33,[14]granulometrie!$B$4:$X$52,3,0)</f>
        <v/>
      </c>
      <c r="BA33" s="30" t="str">
        <f t="shared" si="12"/>
        <v/>
      </c>
      <c r="BB33" s="30" t="str">
        <f>VLOOKUP($AT33,[14]granulometrie!$B$4:$X$52,4,0)</f>
        <v/>
      </c>
      <c r="BC33" s="30" t="str">
        <f t="shared" si="13"/>
        <v/>
      </c>
      <c r="BD33" s="30" t="str">
        <f>VLOOKUP($AT33,[14]granulometrie!$B$4:$X$52,5,0)</f>
        <v/>
      </c>
      <c r="BE33" s="30" t="str">
        <f t="shared" si="14"/>
        <v/>
      </c>
      <c r="BF33" s="30" t="str">
        <f>VLOOKUP($AT33,[14]granulometrie!$B$4:$X$52,6,0)</f>
        <v/>
      </c>
      <c r="BG33" s="30" t="str">
        <f t="shared" si="15"/>
        <v/>
      </c>
      <c r="BH33" s="30" t="str">
        <f>VLOOKUP($AT33,[14]granulometrie!$B$4:$X$52,7,0)</f>
        <v/>
      </c>
      <c r="BI33" s="30" t="str">
        <f t="shared" si="16"/>
        <v/>
      </c>
      <c r="BJ33" s="30" t="str">
        <f>VLOOKUP($AT33,[14]granulometrie!$B$4:$X$52,8,0)</f>
        <v/>
      </c>
      <c r="BK33" s="30" t="str">
        <f t="shared" si="17"/>
        <v/>
      </c>
      <c r="BL33" s="30" t="str">
        <f>VLOOKUP($AT33,[14]granulometrie!$B$4:$X$52,9,0)</f>
        <v/>
      </c>
      <c r="BM33" s="30" t="str">
        <f t="shared" si="18"/>
        <v/>
      </c>
      <c r="BN33" s="30" t="str">
        <f>VLOOKUP($AT33,[14]granulometrie!$B$4:$X$52,10,0)</f>
        <v/>
      </c>
      <c r="BO33" s="30" t="str">
        <f t="shared" si="19"/>
        <v/>
      </c>
      <c r="BP33" s="30" t="str">
        <f>VLOOKUP($AT33,[14]granulometrie!$B$4:$X$52,11,0)</f>
        <v/>
      </c>
      <c r="BQ33" s="30" t="str">
        <f t="shared" si="20"/>
        <v/>
      </c>
      <c r="BR33" s="30" t="str">
        <f>VLOOKUP($AT33,[14]granulometrie!$B$4:$X$52,12,0)</f>
        <v/>
      </c>
      <c r="BS33" s="30" t="str">
        <f t="shared" si="21"/>
        <v/>
      </c>
      <c r="BT33" s="30" t="str">
        <f>VLOOKUP($AT33,[14]granulometrie!$B$4:$X$52,13,0)</f>
        <v/>
      </c>
      <c r="BU33" s="30" t="str">
        <f t="shared" si="22"/>
        <v/>
      </c>
      <c r="BV33" s="30" t="str">
        <f>VLOOKUP($AT33,[14]granulometrie!$B$4:$X$52,14,0)</f>
        <v/>
      </c>
      <c r="BW33" s="30" t="str">
        <f t="shared" si="23"/>
        <v/>
      </c>
      <c r="BX33" s="30" t="str">
        <f>VLOOKUP($AT33,[14]granulometrie!$B$4:$X$52,15,0)</f>
        <v/>
      </c>
      <c r="BY33" s="30" t="str">
        <f t="shared" si="24"/>
        <v/>
      </c>
      <c r="BZ33" s="30" t="str">
        <f>VLOOKUP($AT33,[14]granulometrie!$B$4:$X$52,16,0)</f>
        <v/>
      </c>
      <c r="CA33" s="30" t="str">
        <f t="shared" si="25"/>
        <v/>
      </c>
      <c r="CB33" s="30" t="str">
        <f>VLOOKUP($AT33,[14]granulometrie!$B$4:$X$52,17,0)</f>
        <v/>
      </c>
      <c r="CC33" s="30" t="str">
        <f t="shared" si="26"/>
        <v/>
      </c>
      <c r="CD33" s="30" t="str">
        <f>VLOOKUP($AT33,[14]granulometrie!$B$4:$X$52,18,0)</f>
        <v/>
      </c>
      <c r="CE33" s="30" t="str">
        <f t="shared" si="27"/>
        <v/>
      </c>
      <c r="CF33" s="30" t="str">
        <f>VLOOKUP($AT33,[14]granulometrie!$B$4:$X$52,19,0)</f>
        <v/>
      </c>
      <c r="CG33" s="30" t="str">
        <f t="shared" si="28"/>
        <v/>
      </c>
      <c r="CH33" s="30" t="str">
        <f>VLOOKUP($AT33,[14]granulometrie!$B$4:$X$52,20,0)</f>
        <v/>
      </c>
      <c r="CI33" s="30" t="str">
        <f t="shared" si="29"/>
        <v/>
      </c>
      <c r="CJ33" s="30" t="str">
        <f>VLOOKUP($AT33,[14]granulometrie!$B$4:$X$52,21,0)</f>
        <v/>
      </c>
      <c r="CK33" s="30" t="str">
        <f t="shared" si="30"/>
        <v/>
      </c>
      <c r="CL33" s="30" t="str">
        <f>VLOOKUP($AT33,[14]granulometrie!$B$4:$X$52,22,0)</f>
        <v/>
      </c>
      <c r="CM33" s="30" t="str">
        <f t="shared" si="31"/>
        <v/>
      </c>
      <c r="CN33" s="30" t="str">
        <f>VLOOKUP($AT33,[14]granulometrie!$B$4:$X$52,23,0)</f>
        <v/>
      </c>
      <c r="CO33" s="30" t="str">
        <f t="shared" si="32"/>
        <v/>
      </c>
      <c r="EK33" s="6"/>
    </row>
    <row r="34" spans="1:141" ht="15.75" customHeight="1" x14ac:dyDescent="0.35">
      <c r="F34" s="21"/>
      <c r="G34" s="100" t="s">
        <v>84</v>
      </c>
      <c r="H34" s="30" t="e">
        <f>IF($B$2="","",IF($G$31="","",($H$33+(1000*$E$5))))</f>
        <v>#VALUE!</v>
      </c>
      <c r="I34" s="101" t="e">
        <f>IF($B$5="","",SUM($I$32,$I$19:$I$21,$I$23:$I$25,$I$31)+(1000*$E$5))</f>
        <v>#VALUE!</v>
      </c>
      <c r="J34" s="102"/>
      <c r="K34" s="90" t="s">
        <v>84</v>
      </c>
      <c r="L34" s="82" t="e">
        <f>IF($B$2="","",IF(G31="","",SUM($L$11:$L$13,$L$15:$L$17,$L$19:$L$21,$L$23:$L$25,$L$27:$L$29,$L$31)))</f>
        <v>#VALUE!</v>
      </c>
      <c r="M34" s="90" t="s">
        <v>85</v>
      </c>
      <c r="N34" s="30" t="e">
        <f>IF(B2="","",$J$33)</f>
        <v>#VALUE!</v>
      </c>
      <c r="O34" s="61"/>
      <c r="AQ34" s="7"/>
      <c r="AT34" s="103" t="s">
        <v>86</v>
      </c>
      <c r="AU34" s="104" t="e">
        <f>SUM(AU28:AU30)</f>
        <v>#VALUE!</v>
      </c>
      <c r="AV34" s="105"/>
      <c r="AW34" s="105"/>
      <c r="AY34" s="104" t="e">
        <f>SUM(AY28:AY33)</f>
        <v>#N/A</v>
      </c>
      <c r="BA34" s="104" t="e">
        <f>SUM(BA28:BA33)</f>
        <v>#N/A</v>
      </c>
      <c r="BC34" s="104" t="e">
        <f>SUM(BC28:BC33)</f>
        <v>#N/A</v>
      </c>
      <c r="BE34" s="104" t="e">
        <f>SUM(BE28:BE33)</f>
        <v>#N/A</v>
      </c>
      <c r="BG34" s="104" t="e">
        <f>SUM(BG28:BG33)</f>
        <v>#N/A</v>
      </c>
      <c r="BI34" s="104" t="e">
        <f>SUM(BI28:BI33)</f>
        <v>#N/A</v>
      </c>
      <c r="BK34" s="104" t="e">
        <f>SUM(BK28:BK33)</f>
        <v>#N/A</v>
      </c>
      <c r="BM34" s="104" t="e">
        <f>SUM(BM28:BM33)</f>
        <v>#N/A</v>
      </c>
      <c r="BO34" s="104" t="e">
        <f>SUM(BO28:BO33)</f>
        <v>#N/A</v>
      </c>
      <c r="BQ34" s="104" t="e">
        <f>SUM(BQ28:BQ33)</f>
        <v>#N/A</v>
      </c>
      <c r="BS34" s="104" t="e">
        <f>SUM(BS28:BS33)</f>
        <v>#N/A</v>
      </c>
      <c r="BU34" s="104" t="e">
        <f>SUM(BU28:BU33)</f>
        <v>#N/A</v>
      </c>
      <c r="BW34" s="104" t="e">
        <f>SUM(BW28:BW33)</f>
        <v>#N/A</v>
      </c>
      <c r="BY34" s="104" t="e">
        <f>SUM(BY28:BY33)</f>
        <v>#N/A</v>
      </c>
      <c r="CA34" s="104" t="e">
        <f>SUM(CA28:CA33)</f>
        <v>#N/A</v>
      </c>
      <c r="CC34" s="104" t="e">
        <f>SUM(CC28:CC33)</f>
        <v>#N/A</v>
      </c>
      <c r="CE34" s="104" t="e">
        <f>SUM(CE28:CE33)</f>
        <v>#N/A</v>
      </c>
      <c r="CG34" s="104" t="e">
        <f>SUM(CG28:CG33)</f>
        <v>#N/A</v>
      </c>
      <c r="CI34" s="104" t="e">
        <f>SUM(CI28:CI33)</f>
        <v>#N/A</v>
      </c>
      <c r="CK34" s="104" t="e">
        <f>SUM(CK28:CK33)</f>
        <v>#N/A</v>
      </c>
      <c r="CM34" s="104" t="e">
        <f>SUM(CM28:CM33)</f>
        <v>#N/A</v>
      </c>
      <c r="CO34" s="104" t="e">
        <f>SUM(CO28:CO33)</f>
        <v>#N/A</v>
      </c>
      <c r="EK34" s="6"/>
    </row>
    <row r="35" spans="1:141" ht="5.25" customHeight="1" x14ac:dyDescent="0.35">
      <c r="E35" s="106"/>
      <c r="F35" s="106"/>
      <c r="G35" s="106"/>
      <c r="H35" s="106"/>
      <c r="I35" s="106"/>
      <c r="J35" s="106"/>
      <c r="AQ35" s="7"/>
      <c r="AT35" s="103" t="s">
        <v>87</v>
      </c>
      <c r="AU35" s="104" t="e">
        <f>SUM(AU31:AU33)</f>
        <v>#VALUE!</v>
      </c>
      <c r="EK35" s="6"/>
    </row>
    <row r="36" spans="1:141" ht="15.75" customHeight="1" x14ac:dyDescent="0.35">
      <c r="A36" s="107" t="s">
        <v>88</v>
      </c>
      <c r="B36" s="51" t="s">
        <v>19</v>
      </c>
      <c r="E36" s="106"/>
      <c r="K36" s="270" t="s">
        <v>89</v>
      </c>
      <c r="L36" s="270" t="s">
        <v>90</v>
      </c>
      <c r="M36" s="270" t="s">
        <v>91</v>
      </c>
      <c r="N36" s="272"/>
      <c r="AQ36" s="7"/>
      <c r="AT36" s="103" t="s">
        <v>76</v>
      </c>
      <c r="AU36" s="104" t="e">
        <f>SUM(AU28:AU33)</f>
        <v>#VALUE!</v>
      </c>
      <c r="EK36" s="6"/>
    </row>
    <row r="37" spans="1:141" x14ac:dyDescent="0.35">
      <c r="A37" s="108" t="str">
        <f>IF(A11="","",A11)</f>
        <v>CEM III/B 42,5 N LH/SR - VVM nv. - Gent</v>
      </c>
      <c r="B37" s="109" t="str">
        <f>IF($B$5="",IF($E$11="","",$E$11),IF($A$37="","",$J$11))</f>
        <v/>
      </c>
      <c r="E37" s="106"/>
      <c r="K37" s="271"/>
      <c r="L37" s="271"/>
      <c r="M37" s="110" t="s">
        <v>92</v>
      </c>
      <c r="N37" s="110" t="s">
        <v>93</v>
      </c>
      <c r="O37" s="54" t="s">
        <v>94</v>
      </c>
      <c r="P37" s="111" t="e">
        <f>(B52-P30)/P31*50</f>
        <v>#VALUE!</v>
      </c>
    </row>
    <row r="38" spans="1:141" x14ac:dyDescent="0.35">
      <c r="A38" s="108" t="str">
        <f>IF(A12="","",A12)</f>
        <v/>
      </c>
      <c r="B38" s="109" t="str">
        <f>IF($B$5="",IF($E$12="","",$E$12),IF($A$38="","",$J$12))</f>
        <v/>
      </c>
      <c r="E38" s="106"/>
      <c r="K38" s="112">
        <f>IF($H$2="","",[14]granulometrie!X3)</f>
        <v>0</v>
      </c>
      <c r="L38" s="112" t="e">
        <f>IF($B$2="","",$CO$34)</f>
        <v>#N/A</v>
      </c>
      <c r="M38" s="113">
        <v>100</v>
      </c>
      <c r="N38" s="113">
        <v>100</v>
      </c>
      <c r="O38" s="54" t="s">
        <v>95</v>
      </c>
      <c r="P38" s="111" t="e">
        <f>((50/F27)*B49)+((50/F28)*B50)</f>
        <v>#N/A</v>
      </c>
      <c r="U38" s="114"/>
    </row>
    <row r="39" spans="1:141" ht="14" x14ac:dyDescent="0.3">
      <c r="A39" s="108" t="str">
        <f>IF(A13="","",A13)</f>
        <v/>
      </c>
      <c r="B39" s="109" t="str">
        <f>IF($B$5="",IF($E$13="","",$E$13),IF($A$39="","",$J$13))</f>
        <v/>
      </c>
      <c r="E39" s="106"/>
      <c r="K39" s="112">
        <f>IF($H$2="","",[14]granulometrie!W3)</f>
        <v>0</v>
      </c>
      <c r="L39" s="112" t="e">
        <f>IF($B$2="","",$CM$34)</f>
        <v>#N/A</v>
      </c>
      <c r="M39" s="113">
        <v>100</v>
      </c>
      <c r="N39" s="113">
        <v>100</v>
      </c>
      <c r="O39" s="54" t="s">
        <v>96</v>
      </c>
      <c r="P39" s="115" t="e">
        <f>SUM(P37:P38)</f>
        <v>#VALUE!</v>
      </c>
      <c r="AR39" s="6"/>
      <c r="AS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row>
    <row r="40" spans="1:141" ht="14" x14ac:dyDescent="0.3">
      <c r="A40" s="108" t="str">
        <f>IF(A15="","",A15)</f>
        <v/>
      </c>
      <c r="B40" s="109" t="str">
        <f>IF($B$5="",IF($E$15="","",$E$15),IF($A$40="","",$J$15))</f>
        <v/>
      </c>
      <c r="D40" s="116" t="s">
        <v>97</v>
      </c>
      <c r="E40" s="117"/>
      <c r="K40" s="112">
        <f>IF($H$2="","",[14]granulometrie!V3)</f>
        <v>0</v>
      </c>
      <c r="L40" s="112" t="e">
        <f>IF($B$2="","",$CK$34)</f>
        <v>#N/A</v>
      </c>
      <c r="M40" s="113">
        <v>100</v>
      </c>
      <c r="N40" s="113">
        <v>100</v>
      </c>
      <c r="AR40" s="6"/>
      <c r="AS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row>
    <row r="41" spans="1:141" ht="14" x14ac:dyDescent="0.3">
      <c r="A41" s="108" t="str">
        <f>IF(A16="","",A16)</f>
        <v>kalksteenfiller</v>
      </c>
      <c r="B41" s="109" t="str">
        <f>IF($B$5="",IF($E$16="","",$E$16),IF($A$41="","",$J$16))</f>
        <v/>
      </c>
      <c r="E41" s="106"/>
      <c r="K41" s="112">
        <f>IF($H$2="","",[14]granulometrie!U3)</f>
        <v>0</v>
      </c>
      <c r="L41" s="112" t="e">
        <f>IF($B$2="","",$CI$34)</f>
        <v>#N/A</v>
      </c>
      <c r="M41" s="113">
        <v>100</v>
      </c>
      <c r="N41" s="113">
        <v>100</v>
      </c>
      <c r="AR41" s="6"/>
      <c r="AS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row>
    <row r="42" spans="1:141" ht="14" x14ac:dyDescent="0.3">
      <c r="A42" s="108" t="str">
        <f>IF(A17="","",A17)</f>
        <v/>
      </c>
      <c r="B42" s="109" t="str">
        <f>IF($B$5="",IF($E$17="","",$E$17),IF($A$42="","",$J$17))</f>
        <v/>
      </c>
      <c r="D42" s="54" t="s">
        <v>98</v>
      </c>
      <c r="E42" s="273">
        <f>VLOOKUP(B3,'[13]input diverse'!E3:F19,2,FALSE)</f>
        <v>10</v>
      </c>
      <c r="F42" s="274" t="e">
        <f>VLOOKUP(N3,'[13]input diverse'!T13:U14,2,FALSE)+E42</f>
        <v>#N/A</v>
      </c>
      <c r="I42" s="275" t="e">
        <f>IF(B2="","",IF(E49&gt;=F42,"CF","NCF"))</f>
        <v>#N/A</v>
      </c>
      <c r="K42" s="112">
        <f>IF($H$2="","",[14]granulometrie!T3)</f>
        <v>0</v>
      </c>
      <c r="L42" s="112" t="e">
        <f>IF($B$2="","",$CG$34)</f>
        <v>#N/A</v>
      </c>
      <c r="M42" s="113">
        <v>100</v>
      </c>
      <c r="N42" s="113">
        <v>100</v>
      </c>
      <c r="AR42" s="6"/>
      <c r="AS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row>
    <row r="43" spans="1:141" ht="14" x14ac:dyDescent="0.3">
      <c r="A43" s="108" t="str">
        <f>IF(A19="","",A19)</f>
        <v>grof gebroken kalksteengranulaat 2/6 Ca4a I f2 NG</v>
      </c>
      <c r="B43" s="109" t="e">
        <f>IF($B$5="",IF($E$19="","",$E$19),IF($A$43="","",$J$19))</f>
        <v>#VALUE!</v>
      </c>
      <c r="D43" s="54" t="s">
        <v>99</v>
      </c>
      <c r="E43" s="273"/>
      <c r="F43" s="274"/>
      <c r="I43" s="275"/>
      <c r="K43" s="112">
        <f>IF($H$2="","",[14]granulometrie!S3)</f>
        <v>40</v>
      </c>
      <c r="L43" s="118">
        <f t="shared" ref="L43:L59" si="33">O116*100</f>
        <v>100</v>
      </c>
      <c r="M43" s="119">
        <f t="shared" ref="M43:N59" si="34">W116*100</f>
        <v>95</v>
      </c>
      <c r="N43" s="119">
        <f t="shared" si="34"/>
        <v>105</v>
      </c>
      <c r="AR43" s="6"/>
      <c r="AS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row>
    <row r="44" spans="1:141" ht="14.5" thickBot="1" x14ac:dyDescent="0.35">
      <c r="A44" s="108" t="str">
        <f>IF(A20="","",A20)</f>
        <v/>
      </c>
      <c r="B44" s="109" t="str">
        <f>IF($B$5="",IF($E$20="","",$E$20),IF($A$44="","",$J$20))</f>
        <v/>
      </c>
      <c r="E44" s="106"/>
      <c r="K44" s="120">
        <f>IF($H$2="","",[14]granulometrie!R3)</f>
        <v>31.5</v>
      </c>
      <c r="L44" s="118">
        <f t="shared" si="33"/>
        <v>100</v>
      </c>
      <c r="M44" s="119">
        <f t="shared" si="34"/>
        <v>95</v>
      </c>
      <c r="N44" s="119">
        <f t="shared" si="34"/>
        <v>105</v>
      </c>
      <c r="AR44" s="6"/>
      <c r="AS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row>
    <row r="45" spans="1:141" ht="14.5" thickBot="1" x14ac:dyDescent="0.35">
      <c r="A45" s="108" t="str">
        <f>IF(A21="","",A21)</f>
        <v/>
      </c>
      <c r="B45" s="109" t="str">
        <f>IF($B$5="",IF($E$21="","",$E$21),IF($A$45="","",$J$21))</f>
        <v/>
      </c>
      <c r="E45" s="106"/>
      <c r="K45" s="112">
        <f>IF($H$2="","",[14]granulometrie!Q3)</f>
        <v>20</v>
      </c>
      <c r="L45" s="118">
        <f t="shared" si="33"/>
        <v>100</v>
      </c>
      <c r="M45" s="119">
        <f t="shared" si="34"/>
        <v>95</v>
      </c>
      <c r="N45" s="119">
        <f t="shared" si="34"/>
        <v>105</v>
      </c>
      <c r="O45" s="54" t="s">
        <v>100</v>
      </c>
      <c r="P45" s="121">
        <v>200</v>
      </c>
      <c r="U45" s="122"/>
      <c r="V45" s="123" t="s">
        <v>101</v>
      </c>
      <c r="W45" s="124" t="s">
        <v>102</v>
      </c>
      <c r="X45" s="122"/>
      <c r="Y45" s="122"/>
      <c r="Z45" s="122"/>
      <c r="AA45" s="122"/>
      <c r="AB45" s="122"/>
      <c r="AC45" s="122"/>
      <c r="AR45" s="6"/>
      <c r="AS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row>
    <row r="46" spans="1:141" ht="14" x14ac:dyDescent="0.3">
      <c r="A46" s="108" t="str">
        <f>IF(A23="","",A23)</f>
        <v/>
      </c>
      <c r="B46" s="109" t="str">
        <f>IF($B$5="",IF($E$23="","",$E$23),IF($A$46="","",$J$23))</f>
        <v/>
      </c>
      <c r="D46" s="125" t="s">
        <v>103</v>
      </c>
      <c r="E46" s="126" t="s">
        <v>104</v>
      </c>
      <c r="F46" s="127" t="s">
        <v>105</v>
      </c>
      <c r="G46" s="127" t="s">
        <v>106</v>
      </c>
      <c r="H46" s="127" t="s">
        <v>107</v>
      </c>
      <c r="I46" s="128" t="s">
        <v>108</v>
      </c>
      <c r="J46" s="127" t="s">
        <v>109</v>
      </c>
      <c r="K46" s="112">
        <f>IF($H$2="","",[14]granulometrie!P3)</f>
        <v>16</v>
      </c>
      <c r="L46" s="118">
        <f t="shared" si="33"/>
        <v>100</v>
      </c>
      <c r="M46" s="119">
        <f t="shared" si="34"/>
        <v>95</v>
      </c>
      <c r="N46" s="119">
        <f t="shared" si="34"/>
        <v>105</v>
      </c>
      <c r="U46" s="122"/>
      <c r="V46" s="129" t="s">
        <v>110</v>
      </c>
      <c r="W46" s="129">
        <v>180</v>
      </c>
      <c r="X46" s="122"/>
      <c r="Y46" s="122"/>
      <c r="Z46" s="122"/>
      <c r="AA46" s="130" t="s">
        <v>111</v>
      </c>
      <c r="AB46" s="130"/>
      <c r="AC46" s="130" t="s">
        <v>112</v>
      </c>
      <c r="AD46" s="130"/>
      <c r="AR46" s="6"/>
      <c r="AS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row>
    <row r="47" spans="1:141" ht="14" x14ac:dyDescent="0.3">
      <c r="A47" s="108" t="str">
        <f>IF(A24="","",A24)</f>
        <v>Rond Zand (0/4) CF A f3 a CB SA gewassen - speciaal</v>
      </c>
      <c r="B47" s="109" t="e">
        <f>IF($B$5="",IF($E$24="","",$E$24),IF($A$47="","",$J$24))</f>
        <v>#VALUE!</v>
      </c>
      <c r="D47" s="54"/>
      <c r="E47" s="131"/>
      <c r="F47" s="132">
        <f>VLOOKUP(A11,'[13]input cement'!B4:R16,16,FALSE)</f>
        <v>0.75</v>
      </c>
      <c r="G47" s="132">
        <f>B5</f>
        <v>0.5</v>
      </c>
      <c r="H47" s="132">
        <f>VLOOKUP(A11,'[13]input cement'!B4:R16,17,FALSE)</f>
        <v>30</v>
      </c>
      <c r="I47" s="132">
        <f>VLOOKUP(A11,'[13]input cement'!B4:R17,15,FALSE)</f>
        <v>56.2</v>
      </c>
      <c r="J47" s="133">
        <f>VLOOKUP(A11,'[13]input cement'!B4:S32,18,FALSE)</f>
        <v>18</v>
      </c>
      <c r="K47" s="112">
        <f>IF($H$2="","",[14]granulometrie!O3)</f>
        <v>14</v>
      </c>
      <c r="L47" s="118">
        <f t="shared" si="33"/>
        <v>100</v>
      </c>
      <c r="M47" s="119">
        <f t="shared" si="34"/>
        <v>95</v>
      </c>
      <c r="N47" s="119">
        <f t="shared" si="34"/>
        <v>105</v>
      </c>
      <c r="U47" s="122"/>
      <c r="V47" s="134" t="s">
        <v>113</v>
      </c>
      <c r="W47" s="134">
        <v>190</v>
      </c>
      <c r="X47" s="122"/>
      <c r="Y47" s="122"/>
      <c r="Z47" s="122"/>
      <c r="AA47" s="122"/>
      <c r="AB47" s="122"/>
      <c r="AC47" s="122"/>
      <c r="AR47" s="6"/>
      <c r="AS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row>
    <row r="48" spans="1:141" ht="14" x14ac:dyDescent="0.3">
      <c r="A48" s="108" t="str">
        <f>IF(A25="","",A25)</f>
        <v/>
      </c>
      <c r="B48" s="109" t="str">
        <f>IF($B$5="",IF($E$25="","",$E$25),IF($A$48="","",$J$25))</f>
        <v/>
      </c>
      <c r="E48" s="106"/>
      <c r="K48" s="120">
        <f>IF($H$2="","",[14]granulometrie!N3)</f>
        <v>12.5</v>
      </c>
      <c r="L48" s="118">
        <f t="shared" si="33"/>
        <v>100</v>
      </c>
      <c r="M48" s="119">
        <f t="shared" si="34"/>
        <v>95</v>
      </c>
      <c r="N48" s="119">
        <f t="shared" si="34"/>
        <v>105</v>
      </c>
      <c r="U48" s="122"/>
      <c r="V48" s="134" t="s">
        <v>114</v>
      </c>
      <c r="W48" s="134">
        <v>200</v>
      </c>
      <c r="X48" s="122"/>
      <c r="Y48" s="122"/>
      <c r="Z48" s="122"/>
      <c r="AA48" s="135"/>
      <c r="AB48" s="122"/>
      <c r="AC48" s="122"/>
      <c r="AR48" s="6"/>
      <c r="AS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row>
    <row r="49" spans="1:141" ht="20" x14ac:dyDescent="0.4">
      <c r="A49" s="108" t="str">
        <f>IF(A27="","",A27)</f>
        <v/>
      </c>
      <c r="B49" s="136" t="str">
        <f>IF($B$5="",IF($E$27="","",$E$27),IF($A$49="","",$J$27))</f>
        <v/>
      </c>
      <c r="E49" s="137">
        <f>(F47*I47)+(J47/G47)-H47</f>
        <v>48.150000000000006</v>
      </c>
      <c r="F49" s="138" t="s">
        <v>115</v>
      </c>
      <c r="K49" s="112">
        <f>IF($H$2="","",[14]granulometrie!M3)</f>
        <v>10</v>
      </c>
      <c r="L49" s="118">
        <f t="shared" si="33"/>
        <v>100</v>
      </c>
      <c r="M49" s="119">
        <f t="shared" si="34"/>
        <v>95</v>
      </c>
      <c r="N49" s="119">
        <f t="shared" si="34"/>
        <v>105</v>
      </c>
      <c r="U49" s="122"/>
      <c r="V49" s="134" t="s">
        <v>116</v>
      </c>
      <c r="W49" s="134">
        <v>210</v>
      </c>
      <c r="X49" s="122"/>
      <c r="Y49" s="122"/>
      <c r="Z49" s="122"/>
      <c r="AA49" s="135"/>
      <c r="AB49" s="122"/>
      <c r="AC49" s="122"/>
      <c r="AR49" s="6"/>
      <c r="AS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row>
    <row r="50" spans="1:141" ht="14" x14ac:dyDescent="0.3">
      <c r="A50" s="108" t="str">
        <f>IF(A28="","",A28)</f>
        <v>MasterAir 104 con 4% LBV</v>
      </c>
      <c r="B50" s="136" t="str">
        <f>IF($B$5="",IF($E$28="","",$E$28),IF($A$50="","",$J$28))</f>
        <v/>
      </c>
      <c r="E50" s="106"/>
      <c r="K50" s="112">
        <f>IF($H$2="","",[14]granulometrie!L3)</f>
        <v>8</v>
      </c>
      <c r="L50" s="118">
        <f t="shared" si="33"/>
        <v>100</v>
      </c>
      <c r="M50" s="119">
        <f t="shared" si="34"/>
        <v>95</v>
      </c>
      <c r="N50" s="119">
        <f t="shared" si="34"/>
        <v>105</v>
      </c>
      <c r="U50" s="262"/>
      <c r="V50" s="262"/>
      <c r="W50" s="135"/>
      <c r="X50" s="122"/>
      <c r="Y50" s="122"/>
      <c r="Z50" s="122"/>
      <c r="AA50" s="135"/>
      <c r="AB50" s="122"/>
      <c r="AC50" s="122"/>
      <c r="AR50" s="6"/>
      <c r="AS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row>
    <row r="51" spans="1:141" ht="14" x14ac:dyDescent="0.3">
      <c r="A51" s="108" t="str">
        <f>IF(A29="","",A29)</f>
        <v/>
      </c>
      <c r="B51" s="136" t="str">
        <f>IF($B$5="",IF($E$29="","",$E$29),IF($A$51="","",$J$29))</f>
        <v/>
      </c>
      <c r="E51" s="106"/>
      <c r="K51" s="120">
        <f>IF($H$2="","",[14]granulometrie!K3)</f>
        <v>6.3</v>
      </c>
      <c r="L51" s="118">
        <f t="shared" si="33"/>
        <v>95.41</v>
      </c>
      <c r="M51" s="119">
        <f t="shared" si="34"/>
        <v>90.999999999999986</v>
      </c>
      <c r="N51" s="119">
        <f t="shared" si="34"/>
        <v>101</v>
      </c>
      <c r="U51" s="122"/>
      <c r="V51" s="122"/>
      <c r="W51" s="135"/>
      <c r="X51" s="122"/>
      <c r="Y51" s="122"/>
      <c r="Z51" s="122"/>
      <c r="AA51" s="122"/>
      <c r="AB51" s="122"/>
      <c r="AC51" s="122"/>
      <c r="AR51" s="6"/>
      <c r="AS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row>
    <row r="52" spans="1:141" ht="14" x14ac:dyDescent="0.3">
      <c r="A52" s="108" t="str">
        <f>IF(A31="","",A31)</f>
        <v>aanmaakwater - oppervlaktewater</v>
      </c>
      <c r="B52" s="109">
        <f>IF($B$5="",IF($E$32="","",$E$32),IF(A52="","",J31))</f>
        <v>0</v>
      </c>
      <c r="E52" s="106"/>
      <c r="K52" s="112">
        <f>IF($H$2="","",[14]granulometrie!J3)</f>
        <v>4</v>
      </c>
      <c r="L52" s="118">
        <f t="shared" si="33"/>
        <v>75.522000000000006</v>
      </c>
      <c r="M52" s="119">
        <f t="shared" si="34"/>
        <v>68</v>
      </c>
      <c r="N52" s="119">
        <f t="shared" si="34"/>
        <v>78</v>
      </c>
      <c r="U52" s="122"/>
      <c r="V52" s="122"/>
      <c r="W52" s="122"/>
      <c r="X52" s="122"/>
      <c r="Y52" s="122"/>
      <c r="Z52" s="122"/>
      <c r="AA52" s="122"/>
      <c r="AB52" s="122"/>
      <c r="AC52" s="122"/>
      <c r="AR52" s="6"/>
      <c r="AS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row>
    <row r="53" spans="1:141" ht="14" x14ac:dyDescent="0.3">
      <c r="A53" s="139" t="s">
        <v>117</v>
      </c>
      <c r="B53" s="109" t="e">
        <f>IF($B$5="","",N32)</f>
        <v>#VALUE!</v>
      </c>
      <c r="D53" s="125" t="s">
        <v>118</v>
      </c>
      <c r="E53" s="140" t="s">
        <v>119</v>
      </c>
      <c r="K53" s="112">
        <f>IF($H$2="","",[14]granulometrie!I3)</f>
        <v>2</v>
      </c>
      <c r="L53" s="118">
        <f t="shared" si="33"/>
        <v>45.22</v>
      </c>
      <c r="M53" s="119">
        <f t="shared" si="34"/>
        <v>43</v>
      </c>
      <c r="N53" s="119">
        <f t="shared" si="34"/>
        <v>53</v>
      </c>
      <c r="U53" s="122"/>
      <c r="V53" s="122"/>
      <c r="W53" s="135"/>
      <c r="X53" s="122"/>
      <c r="Y53" s="135"/>
      <c r="Z53" s="122"/>
      <c r="AA53" s="122"/>
      <c r="AB53" s="122"/>
      <c r="AC53" s="122"/>
      <c r="AR53" s="6"/>
      <c r="AS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row>
    <row r="54" spans="1:141" ht="14" x14ac:dyDescent="0.3">
      <c r="A54" s="139" t="s">
        <v>120</v>
      </c>
      <c r="B54" s="109">
        <f>IF($B$5="","",N30)</f>
        <v>0</v>
      </c>
      <c r="E54" s="106"/>
      <c r="K54" s="112">
        <f>IF($H$2="","",[14]granulometrie!H3)</f>
        <v>1</v>
      </c>
      <c r="L54" s="118">
        <f t="shared" si="33"/>
        <v>36.809999999999995</v>
      </c>
      <c r="M54" s="119">
        <f t="shared" si="34"/>
        <v>35</v>
      </c>
      <c r="N54" s="119">
        <f t="shared" si="34"/>
        <v>45</v>
      </c>
      <c r="U54" s="122"/>
      <c r="V54" s="122"/>
      <c r="W54" s="122"/>
      <c r="X54" s="122"/>
      <c r="Y54" s="122"/>
      <c r="Z54" s="122"/>
      <c r="AA54" s="122"/>
      <c r="AB54" s="122"/>
      <c r="AC54" s="122"/>
      <c r="AR54" s="6"/>
      <c r="AS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row>
    <row r="55" spans="1:141" ht="14" x14ac:dyDescent="0.3">
      <c r="A55" s="139" t="s">
        <v>121</v>
      </c>
      <c r="B55" s="109" t="e">
        <f>IF($B$5="",IF($E$32="","",E32),IF(SUM($B$49:$B$51)&gt;3,($B$52+$B$53),($B$52+$B$53)))</f>
        <v>#VALUE!</v>
      </c>
      <c r="E55" s="106"/>
      <c r="K55" s="141">
        <f>IF($H$2="","",[14]granulometrie!G3)</f>
        <v>0.5</v>
      </c>
      <c r="L55" s="118">
        <f t="shared" si="33"/>
        <v>28.021000000000001</v>
      </c>
      <c r="M55" s="119">
        <f t="shared" si="34"/>
        <v>26</v>
      </c>
      <c r="N55" s="119">
        <f t="shared" si="34"/>
        <v>36</v>
      </c>
      <c r="AR55" s="6"/>
      <c r="AS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row>
    <row r="56" spans="1:141" ht="20" x14ac:dyDescent="0.4">
      <c r="A56" s="139" t="s">
        <v>35</v>
      </c>
      <c r="B56" s="142" t="e">
        <f>IF($B$5="","",BM5)</f>
        <v>#VALUE!</v>
      </c>
      <c r="C56" s="106"/>
      <c r="D56" s="106"/>
      <c r="E56" s="143" t="e">
        <f>J47/(F42+H47-(F47*I47))</f>
        <v>#N/A</v>
      </c>
      <c r="F56" s="144" t="s">
        <v>122</v>
      </c>
      <c r="G56" s="144"/>
      <c r="H56" s="144"/>
      <c r="I56" s="145"/>
      <c r="J56" s="145"/>
      <c r="K56" s="141">
        <f>IF($H$2="","",[14]granulometrie!F3)</f>
        <v>0.25</v>
      </c>
      <c r="L56" s="118">
        <f t="shared" si="33"/>
        <v>6.9510000000000005</v>
      </c>
      <c r="M56" s="119">
        <f t="shared" si="34"/>
        <v>5</v>
      </c>
      <c r="N56" s="119">
        <f t="shared" si="34"/>
        <v>15.000000000000002</v>
      </c>
      <c r="AR56" s="6"/>
      <c r="AS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row>
    <row r="57" spans="1:141" ht="14" x14ac:dyDescent="0.3">
      <c r="A57" s="139" t="s">
        <v>38</v>
      </c>
      <c r="B57" s="142" t="e">
        <f>IF($B$5="","",BM8)</f>
        <v>#VALUE!</v>
      </c>
      <c r="C57" s="106"/>
      <c r="D57" s="106"/>
      <c r="E57" s="106"/>
      <c r="K57" s="141">
        <f>IF($H$2="","",[14]granulometrie!E3)</f>
        <v>0.125</v>
      </c>
      <c r="L57" s="118">
        <f t="shared" si="33"/>
        <v>2.5410000000000004</v>
      </c>
      <c r="M57" s="119">
        <f t="shared" si="34"/>
        <v>-4</v>
      </c>
      <c r="N57" s="119">
        <f t="shared" si="34"/>
        <v>6.0000000000000009</v>
      </c>
      <c r="AR57" s="6"/>
      <c r="AS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row>
    <row r="58" spans="1:141" ht="14" customHeight="1" x14ac:dyDescent="0.3">
      <c r="A58" s="139" t="s">
        <v>44</v>
      </c>
      <c r="B58" s="146" t="e">
        <f>(IF($B$5="","",$BM$9))</f>
        <v>#VALUE!</v>
      </c>
      <c r="C58" s="106"/>
      <c r="D58" s="106"/>
      <c r="E58" s="106"/>
      <c r="K58" s="141">
        <f>IF($H$2="","",[14]granulometrie!D3)</f>
        <v>6.3E-2</v>
      </c>
      <c r="L58" s="118">
        <f t="shared" si="33"/>
        <v>1.4140000000000001</v>
      </c>
      <c r="M58" s="119">
        <f t="shared" si="34"/>
        <v>-4</v>
      </c>
      <c r="N58" s="119">
        <f t="shared" si="34"/>
        <v>6.0000000000000009</v>
      </c>
      <c r="AR58" s="6"/>
      <c r="AS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row>
    <row r="59" spans="1:141" ht="14" customHeight="1" x14ac:dyDescent="0.3">
      <c r="A59" s="139" t="s">
        <v>123</v>
      </c>
      <c r="B59" s="147" t="e">
        <f>IF($B$5="","",$BM$10)+0.0226</f>
        <v>#VALUE!</v>
      </c>
      <c r="C59" s="106"/>
      <c r="D59" s="106"/>
      <c r="E59" s="106"/>
      <c r="K59" s="141" t="str">
        <f>IF($H$2="","",[14]granulometrie!C3)</f>
        <v>Bodem</v>
      </c>
      <c r="L59" s="118">
        <f t="shared" si="33"/>
        <v>0</v>
      </c>
      <c r="M59" s="119">
        <f t="shared" si="34"/>
        <v>-5</v>
      </c>
      <c r="N59" s="119">
        <f t="shared" si="34"/>
        <v>5</v>
      </c>
      <c r="AR59" s="6"/>
      <c r="AS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row>
    <row r="60" spans="1:141" s="106" customFormat="1" ht="14.5" x14ac:dyDescent="0.25">
      <c r="A60" s="139" t="s">
        <v>57</v>
      </c>
      <c r="B60" s="148" t="e">
        <f>IF($B$2="","",$BM$11)</f>
        <v>#VALUE!</v>
      </c>
      <c r="K60" s="263" t="s">
        <v>124</v>
      </c>
      <c r="L60" s="264"/>
      <c r="M60" s="112" t="e">
        <f>IF($N$3="","",IF($N$3="S","",IF($H$4="","",VLOOKUP($H$4,'[14]input diverse'!$Q$3:$R$20,2))))</f>
        <v>#N/A</v>
      </c>
      <c r="N60" s="149" t="e">
        <f>IF($M$60="","",IF(L55&gt;M60,"NCF","CF"))</f>
        <v>#N/A</v>
      </c>
    </row>
    <row r="61" spans="1:141" s="151" customFormat="1" ht="14.5" x14ac:dyDescent="0.35">
      <c r="A61" s="131"/>
      <c r="B61" s="150"/>
    </row>
    <row r="62" spans="1:141" s="106" customFormat="1" ht="12.5" x14ac:dyDescent="0.25">
      <c r="A62" s="131"/>
      <c r="B62" s="150"/>
    </row>
    <row r="63" spans="1:141" s="106" customFormat="1" ht="14.5" x14ac:dyDescent="0.35">
      <c r="A63" s="152"/>
      <c r="B63" s="153"/>
    </row>
    <row r="64" spans="1:141" s="106" customFormat="1" ht="13" x14ac:dyDescent="0.3">
      <c r="A64" s="131"/>
      <c r="B64" s="154"/>
    </row>
    <row r="65" spans="1:141" s="106" customFormat="1" ht="12.5" x14ac:dyDescent="0.25"/>
    <row r="66" spans="1:141" s="106" customFormat="1" ht="12.5" x14ac:dyDescent="0.25"/>
    <row r="67" spans="1:141" s="106" customFormat="1" ht="12.5" x14ac:dyDescent="0.25"/>
    <row r="68" spans="1:141" s="106" customFormat="1" ht="12.5" x14ac:dyDescent="0.25"/>
    <row r="69" spans="1:141" s="106" customFormat="1" ht="12.5" x14ac:dyDescent="0.25"/>
    <row r="70" spans="1:141" s="106" customFormat="1" ht="12.5" x14ac:dyDescent="0.25"/>
    <row r="71" spans="1:141" s="106" customFormat="1" ht="12.5" x14ac:dyDescent="0.25">
      <c r="A71" s="6"/>
      <c r="B71" s="6"/>
      <c r="C71" s="6"/>
      <c r="D71" s="6"/>
      <c r="E71" s="21"/>
      <c r="F71" s="21"/>
      <c r="G71" s="21"/>
      <c r="H71" s="21"/>
      <c r="I71" s="21"/>
      <c r="J71" s="21"/>
      <c r="K71" s="21"/>
      <c r="L71" s="21"/>
      <c r="M71" s="21"/>
      <c r="N71" s="6"/>
    </row>
    <row r="72" spans="1:141" s="106" customFormat="1" ht="12.5" x14ac:dyDescent="0.25">
      <c r="A72" s="6"/>
      <c r="B72" s="6"/>
      <c r="C72" s="6"/>
      <c r="D72" s="6"/>
      <c r="E72" s="21"/>
      <c r="F72" s="21"/>
      <c r="G72" s="21"/>
      <c r="H72" s="21"/>
      <c r="I72" s="21"/>
      <c r="J72" s="21"/>
      <c r="K72" s="6"/>
      <c r="L72" s="6"/>
      <c r="M72" s="6"/>
      <c r="N72" s="6"/>
    </row>
    <row r="73" spans="1:141" s="106" customFormat="1" ht="12.5" x14ac:dyDescent="0.25">
      <c r="A73" s="6"/>
      <c r="B73" s="6"/>
      <c r="C73" s="6"/>
      <c r="D73" s="6"/>
      <c r="E73" s="21"/>
      <c r="F73" s="21"/>
      <c r="G73" s="21"/>
      <c r="H73" s="21"/>
      <c r="I73" s="21"/>
      <c r="J73" s="21"/>
      <c r="K73" s="6"/>
      <c r="L73" s="6"/>
      <c r="M73" s="6"/>
      <c r="N73" s="6"/>
    </row>
    <row r="74" spans="1:141" s="106" customFormat="1" ht="12.5" x14ac:dyDescent="0.25">
      <c r="A74" s="6"/>
      <c r="B74" s="6"/>
      <c r="C74" s="6"/>
      <c r="D74" s="6"/>
      <c r="E74" s="21"/>
      <c r="F74" s="21"/>
      <c r="G74" s="21"/>
      <c r="H74" s="21"/>
      <c r="I74" s="21"/>
      <c r="J74" s="21"/>
      <c r="K74" s="6"/>
      <c r="L74" s="6"/>
      <c r="M74" s="6"/>
      <c r="N74" s="6"/>
    </row>
    <row r="75" spans="1:141" ht="12.5" x14ac:dyDescent="0.25">
      <c r="E75" s="21"/>
      <c r="F75" s="21"/>
      <c r="G75" s="21"/>
      <c r="H75" s="21"/>
      <c r="I75" s="21"/>
      <c r="J75" s="21"/>
      <c r="AR75" s="6"/>
      <c r="AS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row>
    <row r="76" spans="1:141" ht="12.5" x14ac:dyDescent="0.25">
      <c r="E76" s="21"/>
      <c r="F76" s="21"/>
      <c r="G76" s="21"/>
      <c r="H76" s="21"/>
      <c r="I76" s="21"/>
      <c r="J76" s="21"/>
      <c r="AR76" s="6"/>
      <c r="AS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row>
    <row r="77" spans="1:141" x14ac:dyDescent="0.35">
      <c r="E77" s="21"/>
      <c r="F77" s="21"/>
      <c r="G77" s="21"/>
      <c r="H77" s="21"/>
      <c r="I77" s="21"/>
      <c r="J77" s="21"/>
    </row>
    <row r="78" spans="1:141" x14ac:dyDescent="0.35">
      <c r="E78" s="21"/>
      <c r="F78" s="21"/>
      <c r="G78" s="21"/>
      <c r="H78" s="21"/>
      <c r="I78" s="21"/>
      <c r="J78" s="21"/>
    </row>
    <row r="79" spans="1:141" x14ac:dyDescent="0.35">
      <c r="E79" s="21"/>
      <c r="F79" s="21"/>
      <c r="G79" s="21"/>
      <c r="H79" s="21"/>
      <c r="I79" s="21"/>
      <c r="J79" s="21"/>
    </row>
    <row r="80" spans="1:141" x14ac:dyDescent="0.35">
      <c r="E80" s="21"/>
      <c r="F80" s="21"/>
      <c r="G80" s="21"/>
      <c r="H80" s="21"/>
      <c r="I80" s="21"/>
      <c r="J80" s="21"/>
    </row>
    <row r="81" spans="5:10" x14ac:dyDescent="0.35">
      <c r="E81" s="21"/>
      <c r="F81" s="21"/>
      <c r="G81" s="21"/>
      <c r="H81" s="21"/>
      <c r="I81" s="21"/>
      <c r="J81" s="21"/>
    </row>
    <row r="82" spans="5:10" x14ac:dyDescent="0.35">
      <c r="E82" s="21"/>
      <c r="F82" s="21"/>
      <c r="G82" s="21"/>
      <c r="H82" s="21"/>
      <c r="I82" s="21"/>
      <c r="J82" s="21"/>
    </row>
    <row r="83" spans="5:10" x14ac:dyDescent="0.35">
      <c r="E83" s="21"/>
      <c r="F83" s="21"/>
      <c r="G83" s="21"/>
      <c r="H83" s="21"/>
      <c r="I83" s="21"/>
      <c r="J83" s="21"/>
    </row>
    <row r="84" spans="5:10" x14ac:dyDescent="0.35">
      <c r="E84" s="21"/>
      <c r="F84" s="21"/>
      <c r="G84" s="21"/>
      <c r="H84" s="21"/>
      <c r="I84" s="21"/>
      <c r="J84" s="21"/>
    </row>
    <row r="85" spans="5:10" x14ac:dyDescent="0.35">
      <c r="E85" s="21"/>
      <c r="F85" s="21"/>
      <c r="G85" s="21"/>
      <c r="H85" s="21"/>
      <c r="I85" s="21"/>
      <c r="J85" s="21"/>
    </row>
    <row r="86" spans="5:10" x14ac:dyDescent="0.35">
      <c r="E86" s="21"/>
      <c r="F86" s="21"/>
      <c r="G86" s="21"/>
      <c r="H86" s="21"/>
      <c r="I86" s="21"/>
      <c r="J86" s="21"/>
    </row>
    <row r="87" spans="5:10" x14ac:dyDescent="0.35">
      <c r="E87" s="21"/>
      <c r="F87" s="21"/>
      <c r="G87" s="21"/>
      <c r="H87" s="21"/>
      <c r="I87" s="21"/>
      <c r="J87" s="21"/>
    </row>
    <row r="107" spans="1:141" ht="19.5" customHeight="1" thickBot="1" x14ac:dyDescent="0.3">
      <c r="A107" s="265" t="s">
        <v>125</v>
      </c>
      <c r="B107" s="266"/>
      <c r="C107" s="267"/>
      <c r="D107" s="267"/>
      <c r="E107" s="267"/>
      <c r="F107" s="267"/>
      <c r="G107" s="267"/>
      <c r="H107" s="267"/>
      <c r="I107" s="267"/>
      <c r="J107" s="267"/>
      <c r="K107" s="267"/>
      <c r="L107" s="267"/>
      <c r="M107" s="267"/>
      <c r="N107" s="267"/>
      <c r="O107" s="267"/>
      <c r="AR107" s="6"/>
      <c r="AS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row>
    <row r="108" spans="1:141" s="155" customFormat="1" ht="5.25" customHeight="1" thickTop="1" x14ac:dyDescent="0.35">
      <c r="A108" s="268"/>
      <c r="B108" s="269"/>
      <c r="C108" s="269"/>
      <c r="D108" s="269"/>
      <c r="E108" s="269"/>
      <c r="F108" s="269"/>
      <c r="G108" s="269"/>
      <c r="H108" s="269"/>
      <c r="I108" s="269"/>
      <c r="J108" s="269"/>
      <c r="K108" s="269"/>
      <c r="L108" s="269"/>
      <c r="M108" s="269"/>
      <c r="N108" s="269"/>
      <c r="O108" s="269"/>
    </row>
    <row r="109" spans="1:141" s="158" customFormat="1" ht="45" customHeight="1" x14ac:dyDescent="0.25">
      <c r="A109" s="156" t="s">
        <v>126</v>
      </c>
      <c r="B109" s="253" t="s">
        <v>127</v>
      </c>
      <c r="C109" s="254"/>
      <c r="D109" s="231"/>
      <c r="E109" s="253" t="s">
        <v>128</v>
      </c>
      <c r="F109" s="254"/>
      <c r="G109" s="231"/>
      <c r="H109" s="253" t="s">
        <v>129</v>
      </c>
      <c r="I109" s="231"/>
      <c r="J109" s="253" t="s">
        <v>130</v>
      </c>
      <c r="K109" s="231"/>
      <c r="L109" s="253" t="s">
        <v>127</v>
      </c>
      <c r="M109" s="231"/>
      <c r="N109" s="157" t="s">
        <v>131</v>
      </c>
      <c r="O109" s="157" t="s">
        <v>132</v>
      </c>
    </row>
    <row r="110" spans="1:141" s="161" customFormat="1" ht="13.5" thickBot="1" x14ac:dyDescent="0.35">
      <c r="A110" s="159" t="s">
        <v>133</v>
      </c>
      <c r="B110" s="242">
        <v>150</v>
      </c>
      <c r="C110" s="243"/>
      <c r="D110" s="243"/>
      <c r="E110" s="244"/>
      <c r="F110" s="244"/>
      <c r="G110" s="244"/>
      <c r="H110" s="244"/>
      <c r="I110" s="244"/>
      <c r="J110" s="244"/>
      <c r="K110" s="244"/>
      <c r="L110" s="244"/>
      <c r="M110" s="244"/>
      <c r="N110" s="244"/>
      <c r="O110" s="245"/>
      <c r="P110" s="160" t="s">
        <v>134</v>
      </c>
    </row>
    <row r="111" spans="1:141" s="161" customFormat="1" ht="22" thickTop="1" thickBot="1" x14ac:dyDescent="0.55000000000000004">
      <c r="A111" s="159" t="s">
        <v>135</v>
      </c>
      <c r="B111" s="246" t="s">
        <v>136</v>
      </c>
      <c r="C111" s="247"/>
      <c r="D111" s="247"/>
      <c r="E111" s="248"/>
      <c r="F111" s="248"/>
      <c r="G111" s="248"/>
      <c r="H111" s="248"/>
      <c r="I111" s="248"/>
      <c r="J111" s="248"/>
      <c r="K111" s="248"/>
      <c r="L111" s="248"/>
      <c r="M111" s="248"/>
      <c r="N111" s="248"/>
      <c r="O111" s="249"/>
      <c r="P111" s="162">
        <f>I18</f>
        <v>980</v>
      </c>
      <c r="T111" s="155"/>
      <c r="U111" s="163" t="s">
        <v>137</v>
      </c>
      <c r="V111" s="164"/>
      <c r="W111" s="165" t="s">
        <v>138</v>
      </c>
      <c r="X111" s="166" t="s">
        <v>139</v>
      </c>
      <c r="Y111" s="167" t="s">
        <v>140</v>
      </c>
    </row>
    <row r="112" spans="1:141" s="161" customFormat="1" ht="22" thickTop="1" thickBot="1" x14ac:dyDescent="0.55000000000000004">
      <c r="A112" s="159" t="s">
        <v>141</v>
      </c>
      <c r="B112" s="250">
        <f>($P$111*B113)*(VLOOKUP(B109,'[13]input granulaat'!$B$4:$F$50,5,FALSE))/1000</f>
        <v>0</v>
      </c>
      <c r="C112" s="251"/>
      <c r="D112" s="231"/>
      <c r="E112" s="250">
        <f>($P$111*E113)*(VLOOKUP(E109,'[13]input granulaat'!$B$4:$F$50,5,FALSE))/1000</f>
        <v>1277.3320000000001</v>
      </c>
      <c r="F112" s="251"/>
      <c r="G112" s="261"/>
      <c r="H112" s="250">
        <f>($P$111*H113)*(VLOOKUP(H109,'[13]input granulaat'!$B$4:$F$50,5,FALSE))/1000</f>
        <v>0</v>
      </c>
      <c r="I112" s="231"/>
      <c r="J112" s="250">
        <f>($P$111*J113)*(VLOOKUP(J109,'[13]input granulaat'!$B$4:$F$50,5,FALSE))/1000</f>
        <v>1334.4659999999999</v>
      </c>
      <c r="K112" s="231"/>
      <c r="L112" s="250">
        <f>($P$111*L113)*(VLOOKUP(L109,'[13]input granulaat'!$B$4:$F$50,5,FALSE))/1000</f>
        <v>0</v>
      </c>
      <c r="M112" s="231"/>
      <c r="N112" s="238">
        <f>SUM(B112:M112)</f>
        <v>2611.7979999999998</v>
      </c>
      <c r="O112" s="231"/>
      <c r="T112" s="155"/>
      <c r="U112" s="259" t="s">
        <v>142</v>
      </c>
      <c r="V112" s="260"/>
    </row>
    <row r="113" spans="1:31" s="161" customFormat="1" ht="25" thickTop="1" thickBot="1" x14ac:dyDescent="0.85">
      <c r="A113" s="159" t="s">
        <v>143</v>
      </c>
      <c r="B113" s="239">
        <v>0</v>
      </c>
      <c r="C113" s="240"/>
      <c r="D113" s="241"/>
      <c r="E113" s="239">
        <v>0.49</v>
      </c>
      <c r="F113" s="240"/>
      <c r="G113" s="241"/>
      <c r="H113" s="239">
        <v>0</v>
      </c>
      <c r="I113" s="231"/>
      <c r="J113" s="239">
        <v>0.51</v>
      </c>
      <c r="K113" s="231"/>
      <c r="L113" s="239">
        <v>0</v>
      </c>
      <c r="M113" s="231"/>
      <c r="N113" s="234">
        <f>SUM(B113:L113)</f>
        <v>1</v>
      </c>
      <c r="O113" s="231"/>
      <c r="T113" s="155"/>
      <c r="U113" s="155"/>
      <c r="V113" s="155"/>
      <c r="Z113" s="168" t="s">
        <v>144</v>
      </c>
      <c r="AA113" s="168"/>
      <c r="AB113" s="168"/>
      <c r="AC113" s="169"/>
      <c r="AD113" s="170"/>
      <c r="AE113" s="170"/>
    </row>
    <row r="114" spans="1:31" s="161" customFormat="1" ht="15" thickTop="1" x14ac:dyDescent="0.35">
      <c r="A114" s="159" t="s">
        <v>145</v>
      </c>
      <c r="B114" s="234">
        <f>IF(B113="","",B112/$N$114)</f>
        <v>0</v>
      </c>
      <c r="C114" s="235"/>
      <c r="D114" s="236"/>
      <c r="E114" s="234">
        <f>IF(E113="","",E112/$N$114)</f>
        <v>1</v>
      </c>
      <c r="F114" s="235"/>
      <c r="G114" s="236"/>
      <c r="H114" s="237"/>
      <c r="I114" s="233"/>
      <c r="J114" s="237"/>
      <c r="K114" s="233"/>
      <c r="L114" s="237"/>
      <c r="M114" s="233"/>
      <c r="N114" s="238">
        <f>IF(B110="","",SUM(B112:G112))</f>
        <v>1277.3320000000001</v>
      </c>
      <c r="O114" s="231"/>
      <c r="T114" s="155"/>
      <c r="U114" s="155"/>
      <c r="V114" s="155"/>
    </row>
    <row r="115" spans="1:31" s="155" customFormat="1" ht="15" thickBot="1" x14ac:dyDescent="0.4">
      <c r="A115" s="159" t="s">
        <v>146</v>
      </c>
      <c r="B115" s="229"/>
      <c r="C115" s="230"/>
      <c r="D115" s="231"/>
      <c r="E115" s="229"/>
      <c r="F115" s="230"/>
      <c r="G115" s="231"/>
      <c r="H115" s="229"/>
      <c r="I115" s="231"/>
      <c r="J115" s="229"/>
      <c r="K115" s="231"/>
      <c r="L115" s="229"/>
      <c r="M115" s="231"/>
      <c r="N115" s="232"/>
      <c r="O115" s="233"/>
    </row>
    <row r="116" spans="1:31" s="155" customFormat="1" thickTop="1" thickBot="1" x14ac:dyDescent="0.4">
      <c r="A116" s="171">
        <v>40</v>
      </c>
      <c r="B116" s="172">
        <f>VLOOKUP($B$109,[13]granulometrie!$B$4:$S$52,18,FALSE)/100</f>
        <v>1</v>
      </c>
      <c r="C116" s="173"/>
      <c r="D116" s="174">
        <f t="shared" ref="D116:D132" si="35">IF(B116="","",B116*$B$113)</f>
        <v>0</v>
      </c>
      <c r="E116" s="172">
        <f>VLOOKUP($E$109,[13]granulometrie!$B$4:$S$52,18,FALSE)/100</f>
        <v>1</v>
      </c>
      <c r="F116" s="173"/>
      <c r="G116" s="174">
        <f t="shared" ref="G116:G132" si="36">IF(E116="","",E116*$E$113)</f>
        <v>0.49</v>
      </c>
      <c r="H116" s="172">
        <f>VLOOKUP($H$109,[13]granulometrie!$B$4:$S$52,18,FALSE)/100</f>
        <v>1</v>
      </c>
      <c r="I116" s="174">
        <f t="shared" ref="I116:I132" si="37">IF(H116="","",H116*$H$113)</f>
        <v>0</v>
      </c>
      <c r="J116" s="172">
        <f>VLOOKUP($J$109,[13]granulometrie!$B$4:$S$52,18,FALSE)/100</f>
        <v>1</v>
      </c>
      <c r="K116" s="174">
        <f t="shared" ref="K116:K132" si="38">IF(J116="","",J116*$J$113)</f>
        <v>0.51</v>
      </c>
      <c r="L116" s="175">
        <f>VLOOKUP($L$109,[13]granulometrie!$B$4:$S$52,18,FALSE)/100</f>
        <v>1</v>
      </c>
      <c r="M116" s="174">
        <f t="shared" ref="M116:M132" si="39">IF(L116="","",L116*$L$113)</f>
        <v>0</v>
      </c>
      <c r="N116" s="176"/>
      <c r="O116" s="177">
        <f t="shared" ref="O116:O132" si="40">IF($H$2="","",SUM(D116,G116,I116,K116,M116))</f>
        <v>1</v>
      </c>
      <c r="Q116" s="178"/>
      <c r="T116" s="179">
        <v>40</v>
      </c>
      <c r="U116" s="252">
        <f>VLOOKUP($U$112,B168:S182,2,FALSE)</f>
        <v>1</v>
      </c>
      <c r="V116" s="252"/>
      <c r="W116" s="180">
        <f t="shared" ref="W116:W132" si="41">U116-5%</f>
        <v>0.95</v>
      </c>
      <c r="X116" s="180">
        <f t="shared" ref="X116:X132" si="42">U116+5%</f>
        <v>1.05</v>
      </c>
      <c r="Y116" s="180">
        <f t="shared" ref="Y116:Y132" si="43">U116-O116</f>
        <v>0</v>
      </c>
    </row>
    <row r="117" spans="1:31" s="155" customFormat="1" thickTop="1" thickBot="1" x14ac:dyDescent="0.4">
      <c r="A117" s="181">
        <v>31.5</v>
      </c>
      <c r="B117" s="172">
        <f>VLOOKUP($B$109,[13]granulometrie!$B$4:$S$52,17,FALSE)/100</f>
        <v>1</v>
      </c>
      <c r="C117" s="173"/>
      <c r="D117" s="174">
        <f t="shared" si="35"/>
        <v>0</v>
      </c>
      <c r="E117" s="172">
        <f>VLOOKUP($E$109,[13]granulometrie!$B$4:$S$52,17,FALSE)/100</f>
        <v>1</v>
      </c>
      <c r="F117" s="173"/>
      <c r="G117" s="174">
        <f t="shared" si="36"/>
        <v>0.49</v>
      </c>
      <c r="H117" s="172">
        <f>VLOOKUP($H$109,[13]granulometrie!$B$4:$S$52,17,FALSE)/100</f>
        <v>1</v>
      </c>
      <c r="I117" s="174">
        <f t="shared" si="37"/>
        <v>0</v>
      </c>
      <c r="J117" s="172">
        <f>VLOOKUP($J$109,[13]granulometrie!$B$4:$S$52,17,FALSE)/100</f>
        <v>1</v>
      </c>
      <c r="K117" s="174">
        <f t="shared" si="38"/>
        <v>0.51</v>
      </c>
      <c r="L117" s="175">
        <f>VLOOKUP($L$109,[13]granulometrie!$B$4:$S$52,17,FALSE)/100</f>
        <v>1</v>
      </c>
      <c r="M117" s="174">
        <f t="shared" si="39"/>
        <v>0</v>
      </c>
      <c r="N117" s="176"/>
      <c r="O117" s="177">
        <f t="shared" si="40"/>
        <v>1</v>
      </c>
      <c r="T117" s="182">
        <v>31.5</v>
      </c>
      <c r="U117" s="252">
        <f>VLOOKUP($U$112,$B$169:$S$182,3,FALSE)</f>
        <v>1</v>
      </c>
      <c r="V117" s="252"/>
      <c r="W117" s="180">
        <f t="shared" si="41"/>
        <v>0.95</v>
      </c>
      <c r="X117" s="180">
        <f t="shared" si="42"/>
        <v>1.05</v>
      </c>
      <c r="Y117" s="180">
        <f t="shared" si="43"/>
        <v>0</v>
      </c>
    </row>
    <row r="118" spans="1:31" s="155" customFormat="1" thickTop="1" thickBot="1" x14ac:dyDescent="0.4">
      <c r="A118" s="171">
        <v>20</v>
      </c>
      <c r="B118" s="172">
        <f>VLOOKUP($B$109,[13]granulometrie!$B$4:$S$52,16,FALSE)/100</f>
        <v>1</v>
      </c>
      <c r="C118" s="173"/>
      <c r="D118" s="174">
        <f t="shared" si="35"/>
        <v>0</v>
      </c>
      <c r="E118" s="172">
        <f>VLOOKUP($E$109,[13]granulometrie!$B$4:$S$52,16,FALSE)/100</f>
        <v>1</v>
      </c>
      <c r="F118" s="173"/>
      <c r="G118" s="174">
        <f t="shared" si="36"/>
        <v>0.49</v>
      </c>
      <c r="H118" s="172">
        <f>VLOOKUP($H$109,[13]granulometrie!$B$4:$S$52,16,FALSE)/100</f>
        <v>0.93</v>
      </c>
      <c r="I118" s="174">
        <f t="shared" si="37"/>
        <v>0</v>
      </c>
      <c r="J118" s="172">
        <f>VLOOKUP($J$109,[13]granulometrie!$B$4:$S$52,16,FALSE)/100</f>
        <v>1</v>
      </c>
      <c r="K118" s="174">
        <f t="shared" si="38"/>
        <v>0.51</v>
      </c>
      <c r="L118" s="175">
        <f>VLOOKUP($L$109,[13]granulometrie!$B$4:$S$52,16,FALSE)/100</f>
        <v>1</v>
      </c>
      <c r="M118" s="174">
        <f t="shared" si="39"/>
        <v>0</v>
      </c>
      <c r="N118" s="176"/>
      <c r="O118" s="177">
        <f t="shared" si="40"/>
        <v>1</v>
      </c>
      <c r="T118" s="179">
        <v>20</v>
      </c>
      <c r="U118" s="252">
        <f>VLOOKUP($U$112,$B$169:$S$182,4,FALSE)</f>
        <v>1</v>
      </c>
      <c r="V118" s="252"/>
      <c r="W118" s="180">
        <f t="shared" si="41"/>
        <v>0.95</v>
      </c>
      <c r="X118" s="180">
        <f t="shared" si="42"/>
        <v>1.05</v>
      </c>
      <c r="Y118" s="180">
        <f t="shared" si="43"/>
        <v>0</v>
      </c>
    </row>
    <row r="119" spans="1:31" s="155" customFormat="1" thickTop="1" thickBot="1" x14ac:dyDescent="0.4">
      <c r="A119" s="171">
        <v>16</v>
      </c>
      <c r="B119" s="172">
        <f>VLOOKUP($B$109,[13]granulometrie!$B$4:$S$52,15,FALSE)/100</f>
        <v>1</v>
      </c>
      <c r="C119" s="173"/>
      <c r="D119" s="174">
        <f t="shared" si="35"/>
        <v>0</v>
      </c>
      <c r="E119" s="172">
        <f>VLOOKUP($E$109,[13]granulometrie!$B$4:$S$52,15,FALSE)/100</f>
        <v>1</v>
      </c>
      <c r="F119" s="173"/>
      <c r="G119" s="174">
        <f t="shared" si="36"/>
        <v>0.49</v>
      </c>
      <c r="H119" s="172">
        <f>VLOOKUP($H$109,[13]granulometrie!$B$4:$S$52,15,FALSE)/100</f>
        <v>0.75</v>
      </c>
      <c r="I119" s="174">
        <f t="shared" si="37"/>
        <v>0</v>
      </c>
      <c r="J119" s="172">
        <f>VLOOKUP($J$109,[13]granulometrie!$B$4:$S$52,15,FALSE)/100</f>
        <v>1</v>
      </c>
      <c r="K119" s="174">
        <f t="shared" si="38"/>
        <v>0.51</v>
      </c>
      <c r="L119" s="175">
        <f>VLOOKUP($L$109,[13]granulometrie!$B$4:$S$52,15,FALSE)/100</f>
        <v>1</v>
      </c>
      <c r="M119" s="174">
        <f t="shared" si="39"/>
        <v>0</v>
      </c>
      <c r="N119" s="176"/>
      <c r="O119" s="177">
        <f t="shared" si="40"/>
        <v>1</v>
      </c>
      <c r="T119" s="179">
        <v>16</v>
      </c>
      <c r="U119" s="252">
        <f>VLOOKUP($U$112,$B$169:$S$182,5,FALSE)</f>
        <v>1</v>
      </c>
      <c r="V119" s="252"/>
      <c r="W119" s="180">
        <f t="shared" si="41"/>
        <v>0.95</v>
      </c>
      <c r="X119" s="180">
        <f t="shared" si="42"/>
        <v>1.05</v>
      </c>
      <c r="Y119" s="180">
        <f t="shared" si="43"/>
        <v>0</v>
      </c>
    </row>
    <row r="120" spans="1:31" s="155" customFormat="1" thickTop="1" thickBot="1" x14ac:dyDescent="0.4">
      <c r="A120" s="171">
        <v>14</v>
      </c>
      <c r="B120" s="172">
        <f>VLOOKUP($B$109,[13]granulometrie!$B$4:$S$52,14,FALSE)/100</f>
        <v>1</v>
      </c>
      <c r="C120" s="173"/>
      <c r="D120" s="174">
        <f t="shared" si="35"/>
        <v>0</v>
      </c>
      <c r="E120" s="172">
        <f>VLOOKUP($E$109,[13]granulometrie!$B$4:$S$52,14,FALSE)/100</f>
        <v>1</v>
      </c>
      <c r="F120" s="173"/>
      <c r="G120" s="174">
        <f t="shared" si="36"/>
        <v>0.49</v>
      </c>
      <c r="H120" s="172">
        <f>VLOOKUP($H$109,[13]granulometrie!$B$4:$S$52,14,FALSE)/100</f>
        <v>0.43</v>
      </c>
      <c r="I120" s="174">
        <f t="shared" si="37"/>
        <v>0</v>
      </c>
      <c r="J120" s="172">
        <f>VLOOKUP($J$109,[13]granulometrie!$B$4:$S$52,14,FALSE)/100</f>
        <v>1</v>
      </c>
      <c r="K120" s="174">
        <f t="shared" si="38"/>
        <v>0.51</v>
      </c>
      <c r="L120" s="175">
        <f>VLOOKUP($L$109,[13]granulometrie!$B$4:$S$52,14,FALSE)/100</f>
        <v>1</v>
      </c>
      <c r="M120" s="174">
        <f t="shared" si="39"/>
        <v>0</v>
      </c>
      <c r="N120" s="176"/>
      <c r="O120" s="177">
        <f t="shared" si="40"/>
        <v>1</v>
      </c>
      <c r="T120" s="179">
        <v>14</v>
      </c>
      <c r="U120" s="252">
        <f>VLOOKUP($U$112,$B$169:$S$182,6,FALSE)</f>
        <v>1</v>
      </c>
      <c r="V120" s="252"/>
      <c r="W120" s="180">
        <f t="shared" si="41"/>
        <v>0.95</v>
      </c>
      <c r="X120" s="180">
        <f t="shared" si="42"/>
        <v>1.05</v>
      </c>
      <c r="Y120" s="180">
        <f t="shared" si="43"/>
        <v>0</v>
      </c>
    </row>
    <row r="121" spans="1:31" s="155" customFormat="1" thickTop="1" thickBot="1" x14ac:dyDescent="0.4">
      <c r="A121" s="181">
        <v>12.5</v>
      </c>
      <c r="B121" s="172">
        <f>VLOOKUP($B$109,[13]granulometrie!$B$4:$S$52,13,FALSE)/100</f>
        <v>1</v>
      </c>
      <c r="C121" s="173"/>
      <c r="D121" s="174">
        <f t="shared" si="35"/>
        <v>0</v>
      </c>
      <c r="E121" s="172">
        <f>VLOOKUP($E$109,[13]granulometrie!$B$4:$S$52,13,FALSE)/100</f>
        <v>1</v>
      </c>
      <c r="F121" s="173"/>
      <c r="G121" s="174">
        <f t="shared" si="36"/>
        <v>0.49</v>
      </c>
      <c r="H121" s="172">
        <f>VLOOKUP($H$109,[13]granulometrie!$B$4:$S$52,13,FALSE)/100</f>
        <v>0.35</v>
      </c>
      <c r="I121" s="174">
        <f t="shared" si="37"/>
        <v>0</v>
      </c>
      <c r="J121" s="172">
        <f>VLOOKUP($J$109,[13]granulometrie!$B$4:$S$52,13,FALSE)/100</f>
        <v>1</v>
      </c>
      <c r="K121" s="174">
        <f t="shared" si="38"/>
        <v>0.51</v>
      </c>
      <c r="L121" s="175">
        <f>VLOOKUP($L$109,[13]granulometrie!$B$4:$S$52,13,FALSE)/100</f>
        <v>1</v>
      </c>
      <c r="M121" s="174">
        <f t="shared" si="39"/>
        <v>0</v>
      </c>
      <c r="N121" s="176"/>
      <c r="O121" s="177">
        <f t="shared" si="40"/>
        <v>1</v>
      </c>
      <c r="T121" s="182">
        <v>12.5</v>
      </c>
      <c r="U121" s="252">
        <f>VLOOKUP($U$112,$B$169:$S$182,7,FALSE)</f>
        <v>1</v>
      </c>
      <c r="V121" s="252"/>
      <c r="W121" s="180">
        <f t="shared" si="41"/>
        <v>0.95</v>
      </c>
      <c r="X121" s="180">
        <f t="shared" si="42"/>
        <v>1.05</v>
      </c>
      <c r="Y121" s="180">
        <f t="shared" si="43"/>
        <v>0</v>
      </c>
    </row>
    <row r="122" spans="1:31" s="155" customFormat="1" thickTop="1" thickBot="1" x14ac:dyDescent="0.4">
      <c r="A122" s="171">
        <v>10</v>
      </c>
      <c r="B122" s="172">
        <f>VLOOKUP($B$109,[13]granulometrie!$B$4:$S$52,12,FALSE)/100</f>
        <v>1</v>
      </c>
      <c r="C122" s="173"/>
      <c r="D122" s="174">
        <f t="shared" si="35"/>
        <v>0</v>
      </c>
      <c r="E122" s="172">
        <f>VLOOKUP($E$109,[13]granulometrie!$B$4:$S$52,12,FALSE)/100</f>
        <v>1</v>
      </c>
      <c r="F122" s="173"/>
      <c r="G122" s="174">
        <f t="shared" si="36"/>
        <v>0.49</v>
      </c>
      <c r="H122" s="172">
        <f>VLOOKUP($H$109,[13]granulometrie!$B$4:$S$52,12,FALSE)/100</f>
        <v>0.28000000000000003</v>
      </c>
      <c r="I122" s="174">
        <f t="shared" si="37"/>
        <v>0</v>
      </c>
      <c r="J122" s="172">
        <f>VLOOKUP($J$109,[13]granulometrie!$B$4:$S$52,12,FALSE)/100</f>
        <v>1</v>
      </c>
      <c r="K122" s="174">
        <f t="shared" si="38"/>
        <v>0.51</v>
      </c>
      <c r="L122" s="175">
        <f>VLOOKUP($L$109,[13]granulometrie!$B$4:$S$52,12,FALSE)/100</f>
        <v>1</v>
      </c>
      <c r="M122" s="174">
        <f t="shared" si="39"/>
        <v>0</v>
      </c>
      <c r="N122" s="176"/>
      <c r="O122" s="177">
        <f t="shared" si="40"/>
        <v>1</v>
      </c>
      <c r="T122" s="179">
        <v>10</v>
      </c>
      <c r="U122" s="252">
        <f>VLOOKUP($U$112,$B$169:$S$182,8,FALSE)</f>
        <v>1</v>
      </c>
      <c r="V122" s="252"/>
      <c r="W122" s="180">
        <f t="shared" si="41"/>
        <v>0.95</v>
      </c>
      <c r="X122" s="180">
        <f t="shared" si="42"/>
        <v>1.05</v>
      </c>
      <c r="Y122" s="180">
        <f t="shared" si="43"/>
        <v>0</v>
      </c>
    </row>
    <row r="123" spans="1:31" s="155" customFormat="1" thickTop="1" thickBot="1" x14ac:dyDescent="0.4">
      <c r="A123" s="171">
        <v>8</v>
      </c>
      <c r="B123" s="172">
        <f>VLOOKUP($B$109,[13]granulometrie!$B$4:$S$52,11,FALSE)/100</f>
        <v>1</v>
      </c>
      <c r="C123" s="173"/>
      <c r="D123" s="174">
        <f t="shared" si="35"/>
        <v>0</v>
      </c>
      <c r="E123" s="172">
        <f>VLOOKUP($E$109,[13]granulometrie!$B$4:$S$52,11,FALSE)/100</f>
        <v>1</v>
      </c>
      <c r="F123" s="173"/>
      <c r="G123" s="174">
        <f t="shared" si="36"/>
        <v>0.49</v>
      </c>
      <c r="H123" s="172">
        <f>VLOOKUP($H$109,[13]granulometrie!$B$4:$S$52,11,FALSE)/100</f>
        <v>0.13</v>
      </c>
      <c r="I123" s="174">
        <f t="shared" si="37"/>
        <v>0</v>
      </c>
      <c r="J123" s="172">
        <f>VLOOKUP($J$109,[13]granulometrie!$B$4:$S$52,11,FALSE)/100</f>
        <v>1</v>
      </c>
      <c r="K123" s="174">
        <f t="shared" si="38"/>
        <v>0.51</v>
      </c>
      <c r="L123" s="175">
        <f>VLOOKUP($L$109,[13]granulometrie!$B$4:$S$52,11,FALSE)/100</f>
        <v>1</v>
      </c>
      <c r="M123" s="174">
        <f t="shared" si="39"/>
        <v>0</v>
      </c>
      <c r="N123" s="176"/>
      <c r="O123" s="177">
        <f t="shared" si="40"/>
        <v>1</v>
      </c>
      <c r="Q123" s="255">
        <f>O123-O125</f>
        <v>0.24478</v>
      </c>
      <c r="R123" s="256"/>
      <c r="T123" s="179">
        <v>8</v>
      </c>
      <c r="U123" s="252">
        <f>VLOOKUP($U$112,$B$169:$S$182,9,FALSE)</f>
        <v>1</v>
      </c>
      <c r="V123" s="252"/>
      <c r="W123" s="180">
        <f t="shared" si="41"/>
        <v>0.95</v>
      </c>
      <c r="X123" s="180">
        <f t="shared" si="42"/>
        <v>1.05</v>
      </c>
      <c r="Y123" s="180">
        <f t="shared" si="43"/>
        <v>0</v>
      </c>
    </row>
    <row r="124" spans="1:31" s="155" customFormat="1" thickTop="1" thickBot="1" x14ac:dyDescent="0.4">
      <c r="A124" s="181">
        <v>6.3</v>
      </c>
      <c r="B124" s="172">
        <f>VLOOKUP($B$109,[13]granulometrie!$B$4:$S$52,10,FALSE)/100</f>
        <v>1</v>
      </c>
      <c r="C124" s="173"/>
      <c r="D124" s="174">
        <f t="shared" si="35"/>
        <v>0</v>
      </c>
      <c r="E124" s="172">
        <f>VLOOKUP($E$109,[13]granulometrie!$B$4:$S$52,10,FALSE)/100</f>
        <v>1</v>
      </c>
      <c r="F124" s="183"/>
      <c r="G124" s="174">
        <f t="shared" si="36"/>
        <v>0.49</v>
      </c>
      <c r="H124" s="172">
        <f>VLOOKUP($H$109,[13]granulometrie!$B$4:$S$52,10,FALSE)/100</f>
        <v>0.05</v>
      </c>
      <c r="I124" s="174">
        <f t="shared" si="37"/>
        <v>0</v>
      </c>
      <c r="J124" s="172">
        <f>VLOOKUP($J$109,[13]granulometrie!$B$4:$S$52,10,FALSE)/100</f>
        <v>0.91</v>
      </c>
      <c r="K124" s="174">
        <f t="shared" si="38"/>
        <v>0.46410000000000001</v>
      </c>
      <c r="L124" s="175">
        <f>VLOOKUP($L$109,[13]granulometrie!$B$4:$S$52,10,FALSE)/100</f>
        <v>1</v>
      </c>
      <c r="M124" s="174">
        <f t="shared" si="39"/>
        <v>0</v>
      </c>
      <c r="N124" s="176"/>
      <c r="O124" s="177">
        <f t="shared" si="40"/>
        <v>0.95409999999999995</v>
      </c>
      <c r="T124" s="182">
        <v>6.3</v>
      </c>
      <c r="U124" s="252">
        <f>VLOOKUP($U$112,$B$169:$S$182,10,FALSE)</f>
        <v>0.96</v>
      </c>
      <c r="V124" s="252"/>
      <c r="W124" s="180">
        <f t="shared" si="41"/>
        <v>0.90999999999999992</v>
      </c>
      <c r="X124" s="180">
        <f t="shared" si="42"/>
        <v>1.01</v>
      </c>
      <c r="Y124" s="180">
        <f t="shared" si="43"/>
        <v>5.9000000000000163E-3</v>
      </c>
    </row>
    <row r="125" spans="1:31" s="155" customFormat="1" thickTop="1" thickBot="1" x14ac:dyDescent="0.4">
      <c r="A125" s="171">
        <v>4</v>
      </c>
      <c r="B125" s="172">
        <f>VLOOKUP($B$109,[13]granulometrie!$B$4:$S$52,9,FALSE)/100</f>
        <v>1</v>
      </c>
      <c r="C125" s="173"/>
      <c r="D125" s="174">
        <f t="shared" si="35"/>
        <v>0</v>
      </c>
      <c r="E125" s="172">
        <f>VLOOKUP($E$109,[13]granulometrie!$B$4:$S$52,9,FALSE)/100</f>
        <v>0.94799999999999995</v>
      </c>
      <c r="F125" s="183"/>
      <c r="G125" s="174">
        <f t="shared" si="36"/>
        <v>0.46451999999999999</v>
      </c>
      <c r="H125" s="172">
        <f>VLOOKUP($H$109,[13]granulometrie!$B$4:$S$52,9,FALSE)/100</f>
        <v>0.02</v>
      </c>
      <c r="I125" s="174">
        <f t="shared" si="37"/>
        <v>0</v>
      </c>
      <c r="J125" s="172">
        <f>VLOOKUP($J$109,[13]granulometrie!$B$4:$S$52,9,FALSE)/100</f>
        <v>0.56999999999999995</v>
      </c>
      <c r="K125" s="174">
        <f t="shared" si="38"/>
        <v>0.29069999999999996</v>
      </c>
      <c r="L125" s="175">
        <f>VLOOKUP($L$109,[13]granulometrie!$B$4:$S$52,9,FALSE)/100</f>
        <v>1</v>
      </c>
      <c r="M125" s="174">
        <f t="shared" si="39"/>
        <v>0</v>
      </c>
      <c r="N125" s="176"/>
      <c r="O125" s="177">
        <f t="shared" si="40"/>
        <v>0.75522</v>
      </c>
      <c r="Q125" s="257" t="s">
        <v>147</v>
      </c>
      <c r="R125" s="258"/>
      <c r="T125" s="179">
        <v>4</v>
      </c>
      <c r="U125" s="252">
        <f>VLOOKUP($U$112,$B$169:$S$182,11,FALSE)</f>
        <v>0.73</v>
      </c>
      <c r="V125" s="252"/>
      <c r="W125" s="180">
        <f t="shared" si="41"/>
        <v>0.67999999999999994</v>
      </c>
      <c r="X125" s="180">
        <f t="shared" si="42"/>
        <v>0.78</v>
      </c>
      <c r="Y125" s="180">
        <f t="shared" si="43"/>
        <v>-2.522000000000002E-2</v>
      </c>
    </row>
    <row r="126" spans="1:31" s="155" customFormat="1" thickTop="1" thickBot="1" x14ac:dyDescent="0.4">
      <c r="A126" s="171">
        <v>2</v>
      </c>
      <c r="B126" s="172">
        <f>VLOOKUP($B$109,[13]granulometrie!$B$4:$S$52,8,FALSE)/100</f>
        <v>0.99</v>
      </c>
      <c r="C126" s="173"/>
      <c r="D126" s="174">
        <f t="shared" si="35"/>
        <v>0</v>
      </c>
      <c r="E126" s="172">
        <f>VLOOKUP($E$109,[13]granulometrie!$B$4:$S$52,8,FALSE)/100</f>
        <v>0.85</v>
      </c>
      <c r="F126" s="183"/>
      <c r="G126" s="174">
        <f t="shared" si="36"/>
        <v>0.41649999999999998</v>
      </c>
      <c r="H126" s="172">
        <f>VLOOKUP($H$109,[13]granulometrie!$B$4:$S$52,8,FALSE)/100</f>
        <v>0.01</v>
      </c>
      <c r="I126" s="174">
        <f t="shared" si="37"/>
        <v>0</v>
      </c>
      <c r="J126" s="172">
        <f>VLOOKUP($J$109,[13]granulometrie!$B$4:$S$52,8,FALSE)/100</f>
        <v>7.0000000000000007E-2</v>
      </c>
      <c r="K126" s="174">
        <f t="shared" si="38"/>
        <v>3.5700000000000003E-2</v>
      </c>
      <c r="L126" s="175">
        <f>VLOOKUP($L$109,[13]granulometrie!$B$4:$S$52,8,FALSE)/100</f>
        <v>0.99</v>
      </c>
      <c r="M126" s="174">
        <f t="shared" si="39"/>
        <v>0</v>
      </c>
      <c r="N126" s="176"/>
      <c r="O126" s="177">
        <f t="shared" si="40"/>
        <v>0.45219999999999999</v>
      </c>
      <c r="Q126" s="184" t="s">
        <v>92</v>
      </c>
      <c r="R126" s="184" t="s">
        <v>93</v>
      </c>
      <c r="T126" s="179">
        <v>2</v>
      </c>
      <c r="U126" s="252">
        <f>VLOOKUP($U$112,$B$169:$S$182,12,FALSE)</f>
        <v>0.48</v>
      </c>
      <c r="V126" s="252"/>
      <c r="W126" s="180">
        <f t="shared" si="41"/>
        <v>0.43</v>
      </c>
      <c r="X126" s="180">
        <f t="shared" si="42"/>
        <v>0.53</v>
      </c>
      <c r="Y126" s="180">
        <f t="shared" si="43"/>
        <v>2.7799999999999991E-2</v>
      </c>
    </row>
    <row r="127" spans="1:31" s="155" customFormat="1" thickTop="1" thickBot="1" x14ac:dyDescent="0.4">
      <c r="A127" s="171">
        <v>1</v>
      </c>
      <c r="B127" s="172">
        <f>VLOOKUP($B$109,[13]granulometrie!$B$4:$S$52,7,FALSE)/100</f>
        <v>0.95</v>
      </c>
      <c r="C127" s="174">
        <f>IF(B127="","",B127*$B$114)</f>
        <v>0</v>
      </c>
      <c r="D127" s="174">
        <f t="shared" si="35"/>
        <v>0</v>
      </c>
      <c r="E127" s="172">
        <f>VLOOKUP($E$109,[13]granulometrie!$B$4:$S$52,7,FALSE)/100</f>
        <v>0.72</v>
      </c>
      <c r="F127" s="174">
        <f>IF(E127="","",E127*$E$114)</f>
        <v>0.72</v>
      </c>
      <c r="G127" s="174">
        <f t="shared" si="36"/>
        <v>0.3528</v>
      </c>
      <c r="H127" s="172">
        <f>VLOOKUP($H$109,[13]granulometrie!$B$4:$S$52,7,FALSE)/100</f>
        <v>0.01</v>
      </c>
      <c r="I127" s="174">
        <f t="shared" si="37"/>
        <v>0</v>
      </c>
      <c r="J127" s="172">
        <f>VLOOKUP($J$109,[13]granulometrie!$B$4:$S$52,7,FALSE)/100</f>
        <v>0.03</v>
      </c>
      <c r="K127" s="174">
        <f t="shared" si="38"/>
        <v>1.5299999999999999E-2</v>
      </c>
      <c r="L127" s="175">
        <f>VLOOKUP($L$109,[13]granulometrie!$B$4:$S$52,7,FALSE)/100</f>
        <v>0.95</v>
      </c>
      <c r="M127" s="174">
        <f t="shared" si="39"/>
        <v>0</v>
      </c>
      <c r="N127" s="177">
        <f>IF($H$2="","",SUM(C127,F127))</f>
        <v>0.72</v>
      </c>
      <c r="O127" s="177">
        <f t="shared" si="40"/>
        <v>0.36809999999999998</v>
      </c>
      <c r="Q127" s="185">
        <v>0.65</v>
      </c>
      <c r="R127" s="185">
        <v>0.95</v>
      </c>
      <c r="T127" s="179">
        <v>1</v>
      </c>
      <c r="U127" s="252">
        <f>VLOOKUP($U$112,$B$169:$S$182,13,FALSE)</f>
        <v>0.4</v>
      </c>
      <c r="V127" s="252"/>
      <c r="W127" s="180">
        <f t="shared" si="41"/>
        <v>0.35000000000000003</v>
      </c>
      <c r="X127" s="180">
        <f t="shared" si="42"/>
        <v>0.45</v>
      </c>
      <c r="Y127" s="180">
        <f t="shared" si="43"/>
        <v>3.1900000000000039E-2</v>
      </c>
    </row>
    <row r="128" spans="1:31" s="155" customFormat="1" thickTop="1" thickBot="1" x14ac:dyDescent="0.4">
      <c r="A128" s="186">
        <v>0.5</v>
      </c>
      <c r="B128" s="172">
        <f>VLOOKUP($B$109,[13]granulometrie!$B$4:$S$52,6,FALSE)/100</f>
        <v>0.81</v>
      </c>
      <c r="C128" s="174">
        <f>IF(B128="","",B128*$B$114)</f>
        <v>0</v>
      </c>
      <c r="D128" s="174">
        <f t="shared" si="35"/>
        <v>0</v>
      </c>
      <c r="E128" s="172">
        <f>VLOOKUP($E$109,[13]granulometrie!$B$4:$S$52,6,FALSE)/100</f>
        <v>0.55000000000000004</v>
      </c>
      <c r="F128" s="174">
        <f>IF(E128="","",E128*$E$114)</f>
        <v>0.55000000000000004</v>
      </c>
      <c r="G128" s="174">
        <f t="shared" si="36"/>
        <v>0.26950000000000002</v>
      </c>
      <c r="H128" s="172">
        <f>VLOOKUP($H$109,[13]granulometrie!$B$4:$S$52,6,FALSE)/100</f>
        <v>0.01</v>
      </c>
      <c r="I128" s="174">
        <f t="shared" si="37"/>
        <v>0</v>
      </c>
      <c r="J128" s="172">
        <f>VLOOKUP($J$109,[13]granulometrie!$B$4:$S$52,6,FALSE)/100</f>
        <v>2.1000000000000001E-2</v>
      </c>
      <c r="K128" s="174">
        <f t="shared" si="38"/>
        <v>1.0710000000000001E-2</v>
      </c>
      <c r="L128" s="175">
        <f>VLOOKUP($L$109,[13]granulometrie!$B$4:$S$52,6,FALSE)/100</f>
        <v>0.81</v>
      </c>
      <c r="M128" s="174">
        <f t="shared" si="39"/>
        <v>0</v>
      </c>
      <c r="N128" s="177">
        <f>IF($H$2="","",SUM(C128,F128))</f>
        <v>0.55000000000000004</v>
      </c>
      <c r="O128" s="177">
        <f t="shared" si="40"/>
        <v>0.28021000000000001</v>
      </c>
      <c r="Q128" s="185">
        <v>0.35</v>
      </c>
      <c r="R128" s="185">
        <v>0.8</v>
      </c>
      <c r="T128" s="187">
        <v>0.5</v>
      </c>
      <c r="U128" s="252">
        <f>VLOOKUP($U$112,$B$169:$S$182,14,FALSE)</f>
        <v>0.31</v>
      </c>
      <c r="V128" s="252"/>
      <c r="W128" s="180">
        <f t="shared" si="41"/>
        <v>0.26</v>
      </c>
      <c r="X128" s="180">
        <f t="shared" si="42"/>
        <v>0.36</v>
      </c>
      <c r="Y128" s="180">
        <f t="shared" si="43"/>
        <v>2.9789999999999983E-2</v>
      </c>
    </row>
    <row r="129" spans="1:25" s="155" customFormat="1" thickTop="1" thickBot="1" x14ac:dyDescent="0.4">
      <c r="A129" s="186">
        <v>0.25</v>
      </c>
      <c r="B129" s="172">
        <f>VLOOKUP($B$109,[13]granulometrie!$B$4:$S$52,5,FALSE)/100</f>
        <v>0.27</v>
      </c>
      <c r="C129" s="174">
        <f>IF(B129="","",B129*$B$114)</f>
        <v>0</v>
      </c>
      <c r="D129" s="174">
        <f t="shared" si="35"/>
        <v>0</v>
      </c>
      <c r="E129" s="172">
        <f>VLOOKUP($E$109,[13]granulometrie!$B$4:$S$52,5,FALSE)/100</f>
        <v>0.12</v>
      </c>
      <c r="F129" s="174">
        <f>IF(E129="","",E129*$E$114)</f>
        <v>0.12</v>
      </c>
      <c r="G129" s="174">
        <f t="shared" si="36"/>
        <v>5.8799999999999998E-2</v>
      </c>
      <c r="H129" s="172">
        <f>VLOOKUP($H$109,[13]granulometrie!$B$4:$S$52,5,FALSE)/100</f>
        <v>0.01</v>
      </c>
      <c r="I129" s="174">
        <f t="shared" si="37"/>
        <v>0</v>
      </c>
      <c r="J129" s="172">
        <f>VLOOKUP($J$109,[13]granulometrie!$B$4:$S$52,5,FALSE)/100</f>
        <v>2.1000000000000001E-2</v>
      </c>
      <c r="K129" s="174">
        <f t="shared" si="38"/>
        <v>1.0710000000000001E-2</v>
      </c>
      <c r="L129" s="175">
        <f>VLOOKUP($L$109,[13]granulometrie!$B$4:$S$52,5,FALSE)/100</f>
        <v>0.27</v>
      </c>
      <c r="M129" s="174">
        <f t="shared" si="39"/>
        <v>0</v>
      </c>
      <c r="N129" s="177">
        <f>IF($H$2="","",SUM(C129,F129))</f>
        <v>0.12</v>
      </c>
      <c r="O129" s="177">
        <f t="shared" si="40"/>
        <v>6.9510000000000002E-2</v>
      </c>
      <c r="Q129" s="185">
        <v>0.1</v>
      </c>
      <c r="R129" s="185">
        <v>0.45</v>
      </c>
      <c r="T129" s="187">
        <v>0.25</v>
      </c>
      <c r="U129" s="252">
        <f>VLOOKUP($U$112,$B$169:$S$182,15,FALSE)</f>
        <v>0.1</v>
      </c>
      <c r="V129" s="252"/>
      <c r="W129" s="180">
        <f t="shared" si="41"/>
        <v>0.05</v>
      </c>
      <c r="X129" s="180">
        <f t="shared" si="42"/>
        <v>0.15000000000000002</v>
      </c>
      <c r="Y129" s="180">
        <f t="shared" si="43"/>
        <v>3.0490000000000003E-2</v>
      </c>
    </row>
    <row r="130" spans="1:25" s="155" customFormat="1" thickTop="1" thickBot="1" x14ac:dyDescent="0.4">
      <c r="A130" s="186">
        <v>0.125</v>
      </c>
      <c r="B130" s="172">
        <f>VLOOKUP($B$109,[13]granulometrie!$B$4:$S$52,4,FALSE)/100</f>
        <v>0.01</v>
      </c>
      <c r="C130" s="174">
        <f>IF(B130="","",B130*$B$114)</f>
        <v>0</v>
      </c>
      <c r="D130" s="174">
        <f t="shared" si="35"/>
        <v>0</v>
      </c>
      <c r="E130" s="172">
        <f>VLOOKUP($E$109,[13]granulometrie!$B$4:$S$52,4,FALSE)/100</f>
        <v>0.03</v>
      </c>
      <c r="F130" s="174">
        <f>IF(E130="","",E130*$E$114)</f>
        <v>0.03</v>
      </c>
      <c r="G130" s="174">
        <f t="shared" si="36"/>
        <v>1.47E-2</v>
      </c>
      <c r="H130" s="172">
        <f>VLOOKUP($H$109,[13]granulometrie!$B$4:$S$52,4,FALSE)/100</f>
        <v>0.01</v>
      </c>
      <c r="I130" s="174">
        <f t="shared" si="37"/>
        <v>0</v>
      </c>
      <c r="J130" s="172">
        <f>VLOOKUP($J$109,[13]granulometrie!$B$4:$S$52,4,FALSE)/100</f>
        <v>2.1000000000000001E-2</v>
      </c>
      <c r="K130" s="174">
        <f t="shared" si="38"/>
        <v>1.0710000000000001E-2</v>
      </c>
      <c r="L130" s="175">
        <f>VLOOKUP($L$109,[13]granulometrie!$B$4:$S$52,4,FALSE)/100</f>
        <v>0.01</v>
      </c>
      <c r="M130" s="174">
        <f t="shared" si="39"/>
        <v>0</v>
      </c>
      <c r="N130" s="177">
        <f>IF($H$2="","",SUM(C130,F130))</f>
        <v>0.03</v>
      </c>
      <c r="O130" s="177">
        <f t="shared" si="40"/>
        <v>2.5410000000000002E-2</v>
      </c>
      <c r="Q130" s="185">
        <v>0</v>
      </c>
      <c r="R130" s="185">
        <v>0.1</v>
      </c>
      <c r="T130" s="187">
        <v>0.125</v>
      </c>
      <c r="U130" s="252">
        <f>VLOOKUP($U$112,$B$169:$S$182,16,FALSE)</f>
        <v>0.01</v>
      </c>
      <c r="V130" s="252"/>
      <c r="W130" s="180">
        <f t="shared" si="41"/>
        <v>-0.04</v>
      </c>
      <c r="X130" s="180">
        <f t="shared" si="42"/>
        <v>6.0000000000000005E-2</v>
      </c>
      <c r="Y130" s="180">
        <f t="shared" si="43"/>
        <v>-1.5410000000000002E-2</v>
      </c>
    </row>
    <row r="131" spans="1:25" s="155" customFormat="1" thickTop="1" thickBot="1" x14ac:dyDescent="0.4">
      <c r="A131" s="186">
        <v>6.3E-2</v>
      </c>
      <c r="B131" s="172">
        <f>VLOOKUP($B$109,[13]granulometrie!$B$4:$S$52,4,FALSE)/100</f>
        <v>0.01</v>
      </c>
      <c r="C131" s="176"/>
      <c r="D131" s="188">
        <f t="shared" si="35"/>
        <v>0</v>
      </c>
      <c r="E131" s="189">
        <f>VLOOKUP($E$109,[13]granulometrie!$B$4:$S$52,3,FALSE)/100</f>
        <v>7.000000000000001E-3</v>
      </c>
      <c r="F131" s="176"/>
      <c r="G131" s="188">
        <f t="shared" si="36"/>
        <v>3.4300000000000003E-3</v>
      </c>
      <c r="H131" s="172">
        <f>VLOOKUP($H$109,[13]granulometrie!$B$4:$S$52,3,FALSE)/100</f>
        <v>0.01</v>
      </c>
      <c r="I131" s="188">
        <f t="shared" si="37"/>
        <v>0</v>
      </c>
      <c r="J131" s="172">
        <f>VLOOKUP($J$109,[13]granulometrie!$B$4:$S$52,3,FALSE)/100</f>
        <v>2.1000000000000001E-2</v>
      </c>
      <c r="K131" s="188">
        <f t="shared" si="38"/>
        <v>1.0710000000000001E-2</v>
      </c>
      <c r="L131" s="190">
        <f>VLOOKUP($L$109,[13]granulometrie!$B$4:$S$52,3,FALSE)/100</f>
        <v>4.0000000000000001E-3</v>
      </c>
      <c r="M131" s="188">
        <f t="shared" si="39"/>
        <v>0</v>
      </c>
      <c r="N131" s="176"/>
      <c r="O131" s="177">
        <f t="shared" si="40"/>
        <v>1.4140000000000002E-2</v>
      </c>
      <c r="T131" s="187">
        <v>6.3E-2</v>
      </c>
      <c r="U131" s="252">
        <f>VLOOKUP($U$112,$B$169:$S$182,17,FALSE)</f>
        <v>0.01</v>
      </c>
      <c r="V131" s="252"/>
      <c r="W131" s="180">
        <f t="shared" si="41"/>
        <v>-0.04</v>
      </c>
      <c r="X131" s="180">
        <f t="shared" si="42"/>
        <v>6.0000000000000005E-2</v>
      </c>
      <c r="Y131" s="180">
        <f t="shared" si="43"/>
        <v>-4.1400000000000013E-3</v>
      </c>
    </row>
    <row r="132" spans="1:25" s="155" customFormat="1" thickTop="1" thickBot="1" x14ac:dyDescent="0.4">
      <c r="A132" s="191" t="s">
        <v>148</v>
      </c>
      <c r="B132" s="172">
        <f>VLOOKUP($B$109,[13]granulometrie!$B$4:$S$52,3,FALSE)/100</f>
        <v>4.0000000000000001E-3</v>
      </c>
      <c r="C132" s="183"/>
      <c r="D132" s="174">
        <f t="shared" si="35"/>
        <v>0</v>
      </c>
      <c r="E132" s="172">
        <f>VLOOKUP($E$109,[13]granulometrie!$B$4:$S$52,2,FALSE)/100</f>
        <v>0</v>
      </c>
      <c r="F132" s="183"/>
      <c r="G132" s="174">
        <f t="shared" si="36"/>
        <v>0</v>
      </c>
      <c r="H132" s="172">
        <f>VLOOKUP($H$109,[13]granulometrie!$B$4:$S$52,2,FALSE)/100</f>
        <v>0</v>
      </c>
      <c r="I132" s="174">
        <f t="shared" si="37"/>
        <v>0</v>
      </c>
      <c r="J132" s="172">
        <f>VLOOKUP($J$109,[13]granulometrie!$B$4:$S$52,2,FALSE)/100</f>
        <v>0</v>
      </c>
      <c r="K132" s="174">
        <f t="shared" si="38"/>
        <v>0</v>
      </c>
      <c r="L132" s="190">
        <f>VLOOKUP($L$109,[13]granulometrie!$B$4:$S$52,2,FALSE)/100</f>
        <v>2E-3</v>
      </c>
      <c r="M132" s="174">
        <f t="shared" si="39"/>
        <v>0</v>
      </c>
      <c r="N132" s="176"/>
      <c r="O132" s="177">
        <f t="shared" si="40"/>
        <v>0</v>
      </c>
      <c r="T132" s="192" t="s">
        <v>149</v>
      </c>
      <c r="U132" s="252">
        <f>VLOOKUP($U$112,$B$169:$S$182,18,FALSE)</f>
        <v>0</v>
      </c>
      <c r="V132" s="252"/>
      <c r="W132" s="180">
        <f t="shared" si="41"/>
        <v>-0.05</v>
      </c>
      <c r="X132" s="180">
        <f t="shared" si="42"/>
        <v>0.05</v>
      </c>
      <c r="Y132" s="180">
        <f t="shared" si="43"/>
        <v>0</v>
      </c>
    </row>
    <row r="133" spans="1:25" s="155" customFormat="1" ht="15" thickTop="1" x14ac:dyDescent="0.35">
      <c r="A133" s="193"/>
      <c r="B133" s="193"/>
      <c r="C133" s="193"/>
      <c r="D133" s="193"/>
      <c r="E133" s="193"/>
      <c r="F133" s="193"/>
      <c r="G133" s="193"/>
      <c r="H133" s="193"/>
      <c r="I133" s="193"/>
      <c r="J133" s="193"/>
      <c r="K133" s="193"/>
      <c r="L133" s="193"/>
      <c r="M133" s="193"/>
      <c r="N133" s="193"/>
      <c r="O133" s="193"/>
    </row>
    <row r="134" spans="1:25" s="155" customFormat="1" ht="14.5" x14ac:dyDescent="0.35">
      <c r="A134" s="193"/>
      <c r="B134" s="193"/>
      <c r="C134" s="193"/>
      <c r="D134" s="193"/>
      <c r="E134" s="193"/>
      <c r="F134" s="193"/>
      <c r="G134" s="193"/>
      <c r="H134" s="193"/>
      <c r="I134" s="193"/>
      <c r="J134" s="193"/>
      <c r="K134" s="193"/>
      <c r="L134" s="193"/>
      <c r="M134" s="193"/>
      <c r="N134" s="193"/>
      <c r="O134" s="193"/>
    </row>
    <row r="135" spans="1:25" s="155" customFormat="1" ht="14.5" x14ac:dyDescent="0.35">
      <c r="A135" s="193"/>
      <c r="B135" s="194"/>
      <c r="C135" s="194"/>
      <c r="D135" s="194"/>
      <c r="E135" s="193"/>
      <c r="F135" s="193"/>
      <c r="G135" s="193"/>
      <c r="H135" s="193"/>
      <c r="I135" s="193"/>
      <c r="J135" s="193"/>
      <c r="K135" s="193"/>
      <c r="L135" s="193"/>
      <c r="M135" s="193"/>
      <c r="N135" s="193"/>
      <c r="O135" s="193"/>
    </row>
    <row r="136" spans="1:25" s="155" customFormat="1" ht="20" x14ac:dyDescent="0.4">
      <c r="A136" s="195" t="s">
        <v>150</v>
      </c>
      <c r="B136" s="196"/>
      <c r="C136" s="194"/>
      <c r="D136" s="194"/>
      <c r="E136" s="193"/>
      <c r="F136" s="193"/>
      <c r="G136" s="193"/>
      <c r="H136" s="193"/>
      <c r="I136" s="193"/>
      <c r="J136" s="193"/>
      <c r="K136" s="193"/>
      <c r="L136" s="193"/>
      <c r="M136" s="193"/>
      <c r="N136" s="193"/>
      <c r="O136" s="193"/>
      <c r="R136" s="197"/>
    </row>
    <row r="137" spans="1:25" s="155" customFormat="1" ht="14.5" x14ac:dyDescent="0.35">
      <c r="A137" s="193"/>
      <c r="B137" s="194"/>
      <c r="C137" s="194"/>
      <c r="D137" s="194"/>
      <c r="E137" s="193"/>
      <c r="F137" s="193"/>
      <c r="G137" s="193"/>
      <c r="H137" s="193"/>
      <c r="I137" s="193"/>
      <c r="J137" s="193"/>
      <c r="K137" s="193"/>
      <c r="L137" s="193"/>
      <c r="M137" s="193"/>
      <c r="N137" s="193"/>
      <c r="O137" s="193"/>
    </row>
    <row r="138" spans="1:25" s="155" customFormat="1" ht="14.5" x14ac:dyDescent="0.35">
      <c r="A138" s="156" t="s">
        <v>126</v>
      </c>
      <c r="B138" s="253" t="s">
        <v>151</v>
      </c>
      <c r="C138" s="254"/>
      <c r="D138" s="231"/>
      <c r="E138" s="253" t="s">
        <v>152</v>
      </c>
      <c r="F138" s="254"/>
      <c r="G138" s="231"/>
      <c r="H138" s="253" t="s">
        <v>130</v>
      </c>
      <c r="I138" s="231"/>
      <c r="J138" s="253" t="s">
        <v>153</v>
      </c>
      <c r="K138" s="231"/>
      <c r="L138" s="253" t="s">
        <v>129</v>
      </c>
      <c r="M138" s="231"/>
      <c r="N138" s="157" t="s">
        <v>131</v>
      </c>
      <c r="O138" s="157" t="s">
        <v>132</v>
      </c>
      <c r="P138" s="198" t="s">
        <v>154</v>
      </c>
      <c r="Q138" s="199" t="s">
        <v>155</v>
      </c>
    </row>
    <row r="139" spans="1:25" s="155" customFormat="1" ht="14.5" x14ac:dyDescent="0.35">
      <c r="A139" s="159" t="s">
        <v>133</v>
      </c>
      <c r="B139" s="242">
        <f>H2</f>
        <v>1</v>
      </c>
      <c r="C139" s="243"/>
      <c r="D139" s="243"/>
      <c r="E139" s="244"/>
      <c r="F139" s="244"/>
      <c r="G139" s="244"/>
      <c r="H139" s="244"/>
      <c r="I139" s="244"/>
      <c r="J139" s="244"/>
      <c r="K139" s="244"/>
      <c r="L139" s="244"/>
      <c r="M139" s="244"/>
      <c r="N139" s="244"/>
      <c r="O139" s="245"/>
    </row>
    <row r="140" spans="1:25" s="155" customFormat="1" ht="20" x14ac:dyDescent="0.35">
      <c r="A140" s="159" t="s">
        <v>135</v>
      </c>
      <c r="B140" s="246" t="str">
        <f>B1</f>
        <v>C 8/10 - OB* - 0 - 25 - 5 - 2 - 7</v>
      </c>
      <c r="C140" s="247"/>
      <c r="D140" s="247"/>
      <c r="E140" s="248"/>
      <c r="F140" s="248"/>
      <c r="G140" s="248"/>
      <c r="H140" s="248"/>
      <c r="I140" s="248"/>
      <c r="J140" s="248"/>
      <c r="K140" s="248"/>
      <c r="L140" s="248"/>
      <c r="M140" s="248"/>
      <c r="N140" s="248"/>
      <c r="O140" s="249"/>
    </row>
    <row r="141" spans="1:25" s="155" customFormat="1" ht="14.5" x14ac:dyDescent="0.35">
      <c r="A141" s="159" t="s">
        <v>141</v>
      </c>
      <c r="B141" s="250"/>
      <c r="C141" s="251"/>
      <c r="D141" s="231"/>
      <c r="E141" s="250"/>
      <c r="F141" s="251"/>
      <c r="G141" s="231"/>
      <c r="H141" s="250"/>
      <c r="I141" s="231"/>
      <c r="J141" s="250"/>
      <c r="K141" s="231"/>
      <c r="L141" s="250"/>
      <c r="M141" s="231"/>
      <c r="N141" s="238"/>
      <c r="O141" s="231"/>
    </row>
    <row r="142" spans="1:25" s="155" customFormat="1" ht="14.5" x14ac:dyDescent="0.35">
      <c r="A142" s="159" t="s">
        <v>143</v>
      </c>
      <c r="B142" s="239">
        <v>0.6</v>
      </c>
      <c r="C142" s="240"/>
      <c r="D142" s="241"/>
      <c r="E142" s="239">
        <v>0.4</v>
      </c>
      <c r="F142" s="240"/>
      <c r="G142" s="241"/>
      <c r="H142" s="239">
        <v>0</v>
      </c>
      <c r="I142" s="231"/>
      <c r="J142" s="239">
        <v>0</v>
      </c>
      <c r="K142" s="231"/>
      <c r="L142" s="239">
        <v>0</v>
      </c>
      <c r="M142" s="231"/>
      <c r="N142" s="234">
        <f>SUM(B142:L142)</f>
        <v>1</v>
      </c>
      <c r="O142" s="231"/>
    </row>
    <row r="143" spans="1:25" s="155" customFormat="1" ht="43.5" x14ac:dyDescent="0.35">
      <c r="A143" s="159" t="s">
        <v>145</v>
      </c>
      <c r="B143" s="234">
        <v>0.22</v>
      </c>
      <c r="C143" s="235"/>
      <c r="D143" s="236"/>
      <c r="E143" s="234">
        <f>IF(E142="","",E142/$N$142)</f>
        <v>0.4</v>
      </c>
      <c r="F143" s="235"/>
      <c r="G143" s="236"/>
      <c r="H143" s="237"/>
      <c r="I143" s="233"/>
      <c r="J143" s="237"/>
      <c r="K143" s="233"/>
      <c r="L143" s="237"/>
      <c r="M143" s="233"/>
      <c r="N143" s="238"/>
      <c r="O143" s="231"/>
      <c r="R143" s="200" t="s">
        <v>156</v>
      </c>
    </row>
    <row r="144" spans="1:25" s="155" customFormat="1" ht="14.5" x14ac:dyDescent="0.35">
      <c r="A144" s="159" t="s">
        <v>146</v>
      </c>
      <c r="B144" s="229"/>
      <c r="C144" s="230"/>
      <c r="D144" s="231"/>
      <c r="E144" s="229"/>
      <c r="F144" s="230"/>
      <c r="G144" s="231"/>
      <c r="H144" s="229"/>
      <c r="I144" s="231"/>
      <c r="J144" s="229"/>
      <c r="K144" s="231"/>
      <c r="L144" s="229"/>
      <c r="M144" s="231"/>
      <c r="N144" s="232"/>
      <c r="O144" s="233"/>
    </row>
    <row r="145" spans="1:30" s="155" customFormat="1" ht="14.5" x14ac:dyDescent="0.35">
      <c r="A145" s="171">
        <v>40</v>
      </c>
      <c r="B145" s="172">
        <f>VLOOKUP($B$138,[13]granulometrie!$B$4:$S$52,18,FALSE)/100</f>
        <v>1</v>
      </c>
      <c r="C145" s="173"/>
      <c r="D145" s="174">
        <f t="shared" ref="D145:D161" si="44">IF(B145="","",B145*$B$142)</f>
        <v>0.6</v>
      </c>
      <c r="E145" s="172" t="e">
        <f>VLOOKUP($E$138,[13]granulometrie!$B$4:$S$52,18,FALSE)/100</f>
        <v>#N/A</v>
      </c>
      <c r="F145" s="173"/>
      <c r="G145" s="174" t="e">
        <f t="shared" ref="G145:G161" si="45">IF(E145="","",E145*$E$142)</f>
        <v>#N/A</v>
      </c>
      <c r="H145" s="172">
        <f>VLOOKUP($H$138,[13]granulometrie!$B$4:$S$52,18,FALSE)/100</f>
        <v>1</v>
      </c>
      <c r="I145" s="174">
        <f t="shared" ref="I145:I161" si="46">IF(H145="","",H145*$H$142)</f>
        <v>0</v>
      </c>
      <c r="J145" s="172">
        <f>VLOOKUP($J$138,[13]granulometrie!$B$4:$S$52,18,FALSE)/100</f>
        <v>1</v>
      </c>
      <c r="K145" s="174">
        <f t="shared" ref="K145:K161" si="47">IF(J145="","",J145*$J$142)</f>
        <v>0</v>
      </c>
      <c r="L145" s="175">
        <f>VLOOKUP($L$138,[13]granulometrie!$B$4:$S$52,18,FALSE)/100</f>
        <v>1</v>
      </c>
      <c r="M145" s="174">
        <f t="shared" ref="M145:M161" si="48">IF(L145="","",L145*$L$142)</f>
        <v>0</v>
      </c>
      <c r="N145" s="176"/>
      <c r="O145" s="177" t="e">
        <f t="shared" ref="O145:O161" si="49">IF($B$139="","",SUM(D145,G145,I145,K145,M145))</f>
        <v>#N/A</v>
      </c>
      <c r="P145" s="201">
        <f>VLOOKUP(P138,'[13]input diverse'!L64:AC65,18,0)</f>
        <v>1</v>
      </c>
      <c r="Q145" s="201" t="e">
        <f t="shared" ref="Q145:Q161" si="50">P145-O145</f>
        <v>#N/A</v>
      </c>
    </row>
    <row r="146" spans="1:30" s="155" customFormat="1" ht="23.5" x14ac:dyDescent="0.55000000000000004">
      <c r="A146" s="181">
        <v>31.5</v>
      </c>
      <c r="B146" s="202">
        <f>VLOOKUP($B$138,[13]granulometrie!$B$4:$S$52,17,FALSE)/100</f>
        <v>1</v>
      </c>
      <c r="C146" s="173"/>
      <c r="D146" s="174">
        <f t="shared" si="44"/>
        <v>0.6</v>
      </c>
      <c r="E146" s="172" t="e">
        <f>VLOOKUP($E$138,[13]granulometrie!$B$4:$S$52,17,FALSE)/100</f>
        <v>#N/A</v>
      </c>
      <c r="F146" s="173"/>
      <c r="G146" s="174" t="e">
        <f t="shared" si="45"/>
        <v>#N/A</v>
      </c>
      <c r="H146" s="172">
        <f>VLOOKUP($H$138,[13]granulometrie!$B$4:$S$52,17,FALSE)/100</f>
        <v>1</v>
      </c>
      <c r="I146" s="174">
        <f t="shared" si="46"/>
        <v>0</v>
      </c>
      <c r="J146" s="172">
        <f>VLOOKUP($J$138,[13]granulometrie!$B$4:$S$52,17,FALSE)/100</f>
        <v>1</v>
      </c>
      <c r="K146" s="174">
        <f t="shared" si="47"/>
        <v>0</v>
      </c>
      <c r="L146" s="175">
        <f>VLOOKUP($L$138,[13]granulometrie!$B$4:$S$52,17,FALSE)/100</f>
        <v>1</v>
      </c>
      <c r="M146" s="174">
        <f t="shared" si="48"/>
        <v>0</v>
      </c>
      <c r="N146" s="176"/>
      <c r="O146" s="177" t="e">
        <f t="shared" si="49"/>
        <v>#N/A</v>
      </c>
      <c r="P146" s="201">
        <f>VLOOKUP($P$138,'[13]input diverse'!$L$64:$AC$65,17,0)</f>
        <v>1</v>
      </c>
      <c r="Q146" s="201" t="e">
        <f t="shared" si="50"/>
        <v>#N/A</v>
      </c>
      <c r="V146" s="203" t="s">
        <v>157</v>
      </c>
      <c r="W146" s="203"/>
      <c r="X146" s="203"/>
      <c r="Y146" s="203"/>
      <c r="Z146" s="204"/>
      <c r="AA146" s="204"/>
    </row>
    <row r="147" spans="1:30" s="155" customFormat="1" ht="14.5" x14ac:dyDescent="0.35">
      <c r="A147" s="171">
        <v>20</v>
      </c>
      <c r="B147" s="202">
        <f>VLOOKUP($B$138,[13]granulometrie!$B$4:$S$52,16,FALSE)/100</f>
        <v>1</v>
      </c>
      <c r="C147" s="173"/>
      <c r="D147" s="174">
        <f t="shared" si="44"/>
        <v>0.6</v>
      </c>
      <c r="E147" s="172" t="e">
        <f>VLOOKUP($E$138,[13]granulometrie!$B$4:$S$52,16,FALSE)/100</f>
        <v>#N/A</v>
      </c>
      <c r="F147" s="173"/>
      <c r="G147" s="174" t="e">
        <f t="shared" si="45"/>
        <v>#N/A</v>
      </c>
      <c r="H147" s="172">
        <f>VLOOKUP($H$138,[13]granulometrie!$B$4:$S$52,16,FALSE)/100</f>
        <v>1</v>
      </c>
      <c r="I147" s="174">
        <f t="shared" si="46"/>
        <v>0</v>
      </c>
      <c r="J147" s="172">
        <f>VLOOKUP($J$138,[13]granulometrie!$B$4:$S$52,16,FALSE)/100</f>
        <v>1</v>
      </c>
      <c r="K147" s="174">
        <f t="shared" si="47"/>
        <v>0</v>
      </c>
      <c r="L147" s="175">
        <f>VLOOKUP($L$138,[13]granulometrie!$B$4:$S$52,16,FALSE)/100</f>
        <v>0.93</v>
      </c>
      <c r="M147" s="174">
        <f t="shared" si="48"/>
        <v>0</v>
      </c>
      <c r="N147" s="176"/>
      <c r="O147" s="177" t="e">
        <f t="shared" si="49"/>
        <v>#N/A</v>
      </c>
      <c r="P147" s="201">
        <f>VLOOKUP($P$138,'[13]input diverse'!$L$64:$AC$65,16,0)</f>
        <v>1</v>
      </c>
      <c r="Q147" s="201" t="e">
        <f t="shared" si="50"/>
        <v>#N/A</v>
      </c>
    </row>
    <row r="148" spans="1:30" s="155" customFormat="1" ht="14.5" x14ac:dyDescent="0.35">
      <c r="A148" s="171">
        <v>16</v>
      </c>
      <c r="B148" s="202">
        <f>VLOOKUP($B$138,[13]granulometrie!$B$4:$S$52,15,FALSE)/100</f>
        <v>1</v>
      </c>
      <c r="C148" s="173"/>
      <c r="D148" s="174">
        <f t="shared" si="44"/>
        <v>0.6</v>
      </c>
      <c r="E148" s="172" t="e">
        <f>VLOOKUP($E$138,[13]granulometrie!$B$4:$S$52,15,FALSE)/100</f>
        <v>#N/A</v>
      </c>
      <c r="F148" s="173"/>
      <c r="G148" s="174" t="e">
        <f t="shared" si="45"/>
        <v>#N/A</v>
      </c>
      <c r="H148" s="172">
        <f>VLOOKUP($H$138,[13]granulometrie!$B$4:$S$52,15,FALSE)/100</f>
        <v>1</v>
      </c>
      <c r="I148" s="174">
        <f t="shared" si="46"/>
        <v>0</v>
      </c>
      <c r="J148" s="172">
        <f>VLOOKUP($J$138,[13]granulometrie!$B$4:$S$52,15,FALSE)/100</f>
        <v>1</v>
      </c>
      <c r="K148" s="174">
        <f t="shared" si="47"/>
        <v>0</v>
      </c>
      <c r="L148" s="175">
        <f>VLOOKUP($L$138,[13]granulometrie!$B$4:$S$52,15,FALSE)/100</f>
        <v>0.75</v>
      </c>
      <c r="M148" s="174">
        <f t="shared" si="48"/>
        <v>0</v>
      </c>
      <c r="N148" s="176"/>
      <c r="O148" s="177" t="e">
        <f t="shared" si="49"/>
        <v>#N/A</v>
      </c>
      <c r="P148" s="201">
        <f>VLOOKUP($P$138,'[13]input diverse'!$L$64:$AC$65,15,0)</f>
        <v>1</v>
      </c>
      <c r="Q148" s="201" t="e">
        <f t="shared" si="50"/>
        <v>#N/A</v>
      </c>
    </row>
    <row r="149" spans="1:30" s="155" customFormat="1" ht="14.5" x14ac:dyDescent="0.35">
      <c r="A149" s="171">
        <v>14</v>
      </c>
      <c r="B149" s="202">
        <f>VLOOKUP($B$138,[13]granulometrie!$B$4:$S$52,14,FALSE)/100</f>
        <v>1</v>
      </c>
      <c r="C149" s="173"/>
      <c r="D149" s="174">
        <f t="shared" si="44"/>
        <v>0.6</v>
      </c>
      <c r="E149" s="172" t="e">
        <f>VLOOKUP($E$138,[13]granulometrie!$B$4:$S$52,14,FALSE)/100</f>
        <v>#N/A</v>
      </c>
      <c r="F149" s="173"/>
      <c r="G149" s="174" t="e">
        <f t="shared" si="45"/>
        <v>#N/A</v>
      </c>
      <c r="H149" s="172">
        <f>VLOOKUP($H$138,[13]granulometrie!$B$4:$S$52,14,FALSE)/100</f>
        <v>1</v>
      </c>
      <c r="I149" s="174">
        <f t="shared" si="46"/>
        <v>0</v>
      </c>
      <c r="J149" s="172">
        <f>VLOOKUP($J$138,[13]granulometrie!$B$4:$S$52,14,FALSE)/100</f>
        <v>0.95</v>
      </c>
      <c r="K149" s="174">
        <f t="shared" si="47"/>
        <v>0</v>
      </c>
      <c r="L149" s="175">
        <f>VLOOKUP($L$138,[13]granulometrie!$B$4:$S$52,14,FALSE)/100</f>
        <v>0.43</v>
      </c>
      <c r="M149" s="174">
        <f t="shared" si="48"/>
        <v>0</v>
      </c>
      <c r="N149" s="176"/>
      <c r="O149" s="177" t="e">
        <f t="shared" si="49"/>
        <v>#N/A</v>
      </c>
      <c r="P149" s="201">
        <f>VLOOKUP($P$138,'[13]input diverse'!$L$64:$AC$65,14,0)</f>
        <v>1</v>
      </c>
      <c r="Q149" s="201" t="e">
        <f t="shared" si="50"/>
        <v>#N/A</v>
      </c>
    </row>
    <row r="150" spans="1:30" s="155" customFormat="1" ht="14.5" x14ac:dyDescent="0.35">
      <c r="A150" s="181">
        <v>12.5</v>
      </c>
      <c r="B150" s="202">
        <f>VLOOKUP($B$138,[13]granulometrie!$B$4:$S$52,13,FALSE)/100</f>
        <v>1</v>
      </c>
      <c r="C150" s="173"/>
      <c r="D150" s="174">
        <f t="shared" si="44"/>
        <v>0.6</v>
      </c>
      <c r="E150" s="172" t="e">
        <f>VLOOKUP($E$138,[13]granulometrie!$B$4:$S$52,13,FALSE)/100</f>
        <v>#N/A</v>
      </c>
      <c r="F150" s="173"/>
      <c r="G150" s="174" t="e">
        <f t="shared" si="45"/>
        <v>#N/A</v>
      </c>
      <c r="H150" s="172">
        <f>VLOOKUP($H$138,[13]granulometrie!$B$4:$S$52,13,FALSE)/100</f>
        <v>1</v>
      </c>
      <c r="I150" s="174">
        <f t="shared" si="46"/>
        <v>0</v>
      </c>
      <c r="J150" s="172">
        <f>VLOOKUP($J$138,[13]granulometrie!$B$4:$S$52,13,FALSE)/100</f>
        <v>0.95</v>
      </c>
      <c r="K150" s="174">
        <f t="shared" si="47"/>
        <v>0</v>
      </c>
      <c r="L150" s="175">
        <f>VLOOKUP($L$138,[13]granulometrie!$B$4:$S$52,13,FALSE)/100</f>
        <v>0.35</v>
      </c>
      <c r="M150" s="174">
        <f t="shared" si="48"/>
        <v>0</v>
      </c>
      <c r="N150" s="176"/>
      <c r="O150" s="177" t="e">
        <f t="shared" si="49"/>
        <v>#N/A</v>
      </c>
      <c r="P150" s="201">
        <f>VLOOKUP($P$138,'[13]input diverse'!$L$64:$AC$65,13,0)</f>
        <v>1</v>
      </c>
      <c r="Q150" s="201" t="e">
        <f t="shared" si="50"/>
        <v>#N/A</v>
      </c>
    </row>
    <row r="151" spans="1:30" s="155" customFormat="1" ht="14.5" x14ac:dyDescent="0.35">
      <c r="A151" s="171">
        <v>10</v>
      </c>
      <c r="B151" s="202">
        <f>VLOOKUP($B$138,[13]granulometrie!$B$4:$S$52,12,FALSE)/100</f>
        <v>1</v>
      </c>
      <c r="C151" s="173"/>
      <c r="D151" s="174">
        <f t="shared" si="44"/>
        <v>0.6</v>
      </c>
      <c r="E151" s="172" t="e">
        <f>VLOOKUP($E$138,[13]granulometrie!$B$4:$S$52,12,FALSE)/100</f>
        <v>#N/A</v>
      </c>
      <c r="F151" s="173"/>
      <c r="G151" s="174" t="e">
        <f t="shared" si="45"/>
        <v>#N/A</v>
      </c>
      <c r="H151" s="172">
        <f>VLOOKUP($H$138,[13]granulometrie!$B$4:$S$52,12,FALSE)/100</f>
        <v>1</v>
      </c>
      <c r="I151" s="174">
        <f t="shared" si="46"/>
        <v>0</v>
      </c>
      <c r="J151" s="172">
        <f>VLOOKUP($J$138,[13]granulometrie!$B$4:$S$52,12,FALSE)/100</f>
        <v>0.57999999999999996</v>
      </c>
      <c r="K151" s="174">
        <f t="shared" si="47"/>
        <v>0</v>
      </c>
      <c r="L151" s="175">
        <f>VLOOKUP($L$138,[13]granulometrie!$B$4:$S$52,12,FALSE)/100</f>
        <v>0.28000000000000003</v>
      </c>
      <c r="M151" s="174">
        <f t="shared" si="48"/>
        <v>0</v>
      </c>
      <c r="N151" s="176"/>
      <c r="O151" s="177" t="e">
        <f t="shared" si="49"/>
        <v>#N/A</v>
      </c>
      <c r="P151" s="201">
        <f>VLOOKUP($P$138,'[13]input diverse'!$L$64:$AC$65,12,0)</f>
        <v>1</v>
      </c>
      <c r="Q151" s="201" t="e">
        <f t="shared" si="50"/>
        <v>#N/A</v>
      </c>
    </row>
    <row r="152" spans="1:30" s="155" customFormat="1" ht="14.5" x14ac:dyDescent="0.35">
      <c r="A152" s="171">
        <v>8</v>
      </c>
      <c r="B152" s="202">
        <f>VLOOKUP($B$138,[13]granulometrie!$B$4:$S$52,11,FALSE)/100</f>
        <v>1</v>
      </c>
      <c r="C152" s="173"/>
      <c r="D152" s="174">
        <f t="shared" si="44"/>
        <v>0.6</v>
      </c>
      <c r="E152" s="172" t="e">
        <f>VLOOKUP($E$138,[13]granulometrie!$B$4:$S$52,11,FALSE)/100</f>
        <v>#N/A</v>
      </c>
      <c r="F152" s="173"/>
      <c r="G152" s="174" t="e">
        <f t="shared" si="45"/>
        <v>#N/A</v>
      </c>
      <c r="H152" s="172">
        <f>VLOOKUP($H$138,[13]granulometrie!$B$4:$S$52,11,FALSE)/100</f>
        <v>1</v>
      </c>
      <c r="I152" s="174">
        <f t="shared" si="46"/>
        <v>0</v>
      </c>
      <c r="J152" s="172">
        <f>VLOOKUP($J$138,[13]granulometrie!$B$4:$S$52,11,FALSE)/100</f>
        <v>0.56999999999999995</v>
      </c>
      <c r="K152" s="174">
        <f t="shared" si="47"/>
        <v>0</v>
      </c>
      <c r="L152" s="175">
        <f>VLOOKUP($L$138,[13]granulometrie!$B$4:$S$52,11,FALSE)/100</f>
        <v>0.13</v>
      </c>
      <c r="M152" s="174">
        <f t="shared" si="48"/>
        <v>0</v>
      </c>
      <c r="N152" s="176"/>
      <c r="O152" s="177" t="e">
        <f t="shared" si="49"/>
        <v>#N/A</v>
      </c>
      <c r="P152" s="201">
        <f>VLOOKUP($P$138,'[13]input diverse'!$L$64:$AC$65,11,0)</f>
        <v>0.99</v>
      </c>
      <c r="Q152" s="201" t="e">
        <f t="shared" si="50"/>
        <v>#N/A</v>
      </c>
    </row>
    <row r="153" spans="1:30" s="155" customFormat="1" ht="14.5" x14ac:dyDescent="0.35">
      <c r="A153" s="181">
        <v>6.3</v>
      </c>
      <c r="B153" s="202">
        <f>VLOOKUP($B$138,[13]granulometrie!$B$4:$S$52,10,FALSE)/100</f>
        <v>0.99</v>
      </c>
      <c r="C153" s="173"/>
      <c r="D153" s="174">
        <f t="shared" si="44"/>
        <v>0.59399999999999997</v>
      </c>
      <c r="E153" s="172" t="e">
        <f>VLOOKUP($E$138,[13]granulometrie!$B$4:$S$52,10,FALSE)/100</f>
        <v>#N/A</v>
      </c>
      <c r="F153" s="183"/>
      <c r="G153" s="174" t="e">
        <f t="shared" si="45"/>
        <v>#N/A</v>
      </c>
      <c r="H153" s="172">
        <f>VLOOKUP($H$138,[13]granulometrie!$B$4:$S$52,10,FALSE)/100</f>
        <v>0.91</v>
      </c>
      <c r="I153" s="174">
        <f t="shared" si="46"/>
        <v>0</v>
      </c>
      <c r="J153" s="172">
        <f>VLOOKUP($J$138,[13]granulometrie!$B$4:$S$52,10,FALSE)/100</f>
        <v>0.11</v>
      </c>
      <c r="K153" s="174">
        <f t="shared" si="47"/>
        <v>0</v>
      </c>
      <c r="L153" s="175">
        <f>VLOOKUP($L$138,[13]granulometrie!$B$4:$S$52,10,FALSE)/100</f>
        <v>0.05</v>
      </c>
      <c r="M153" s="174">
        <f t="shared" si="48"/>
        <v>0</v>
      </c>
      <c r="N153" s="176"/>
      <c r="O153" s="177" t="e">
        <f t="shared" si="49"/>
        <v>#N/A</v>
      </c>
      <c r="P153" s="201">
        <f>VLOOKUP($P$138,'[13]input diverse'!$L$64:$AC$65,10,0)</f>
        <v>0.98</v>
      </c>
      <c r="Q153" s="201" t="e">
        <f t="shared" si="50"/>
        <v>#N/A</v>
      </c>
    </row>
    <row r="154" spans="1:30" s="155" customFormat="1" ht="14.5" x14ac:dyDescent="0.35">
      <c r="A154" s="171">
        <v>4</v>
      </c>
      <c r="B154" s="202">
        <f>VLOOKUP($B$138,[13]granulometrie!$B$4:$S$52,9,FALSE)/100</f>
        <v>0.98</v>
      </c>
      <c r="C154" s="173"/>
      <c r="D154" s="174">
        <f t="shared" si="44"/>
        <v>0.58799999999999997</v>
      </c>
      <c r="E154" s="172" t="e">
        <f>VLOOKUP($E$138,[13]granulometrie!$B$4:$S$52,9,FALSE)/100</f>
        <v>#N/A</v>
      </c>
      <c r="F154" s="183"/>
      <c r="G154" s="174" t="e">
        <f t="shared" si="45"/>
        <v>#N/A</v>
      </c>
      <c r="H154" s="172">
        <f>VLOOKUP($H$138,[13]granulometrie!$B$4:$S$52,9,FALSE)/100</f>
        <v>0.56999999999999995</v>
      </c>
      <c r="I154" s="174">
        <f t="shared" si="46"/>
        <v>0</v>
      </c>
      <c r="J154" s="172">
        <f>VLOOKUP($J$138,[13]granulometrie!$B$4:$S$52,9,FALSE)/100</f>
        <v>0.04</v>
      </c>
      <c r="K154" s="174">
        <f t="shared" si="47"/>
        <v>0</v>
      </c>
      <c r="L154" s="175">
        <f>VLOOKUP($L$138,[13]granulometrie!$B$4:$S$52,9,FALSE)/100</f>
        <v>0.02</v>
      </c>
      <c r="M154" s="174">
        <f t="shared" si="48"/>
        <v>0</v>
      </c>
      <c r="N154" s="176"/>
      <c r="O154" s="177" t="e">
        <f t="shared" si="49"/>
        <v>#N/A</v>
      </c>
      <c r="P154" s="201">
        <f>VLOOKUP($P$138,'[13]input diverse'!$L$64:$AC$65,9,0)</f>
        <v>0.95</v>
      </c>
      <c r="Q154" s="201" t="e">
        <f t="shared" si="50"/>
        <v>#N/A</v>
      </c>
    </row>
    <row r="155" spans="1:30" s="155" customFormat="1" ht="14.5" x14ac:dyDescent="0.35">
      <c r="A155" s="171">
        <v>2</v>
      </c>
      <c r="B155" s="202">
        <f>VLOOKUP($B$138,[13]granulometrie!$B$4:$S$52,8,FALSE)/100</f>
        <v>0.94</v>
      </c>
      <c r="C155" s="173"/>
      <c r="D155" s="174">
        <f t="shared" si="44"/>
        <v>0.56399999999999995</v>
      </c>
      <c r="E155" s="172" t="e">
        <f>VLOOKUP($E$138,[13]granulometrie!$B$4:$S$52,8,FALSE)/100</f>
        <v>#N/A</v>
      </c>
      <c r="F155" s="183"/>
      <c r="G155" s="174" t="e">
        <f t="shared" si="45"/>
        <v>#N/A</v>
      </c>
      <c r="H155" s="172">
        <f>VLOOKUP($H$138,[13]granulometrie!$B$4:$S$52,8,FALSE)/100</f>
        <v>7.0000000000000007E-2</v>
      </c>
      <c r="I155" s="174">
        <f t="shared" si="46"/>
        <v>0</v>
      </c>
      <c r="J155" s="172">
        <f>VLOOKUP($J$138,[13]granulometrie!$B$4:$S$52,8,FALSE)/100</f>
        <v>1.0999999999999999E-2</v>
      </c>
      <c r="K155" s="174">
        <f t="shared" si="47"/>
        <v>0</v>
      </c>
      <c r="L155" s="175">
        <f>VLOOKUP($L$138,[13]granulometrie!$B$4:$S$52,8,FALSE)/100</f>
        <v>0.01</v>
      </c>
      <c r="M155" s="174">
        <f t="shared" si="48"/>
        <v>0</v>
      </c>
      <c r="N155" s="176"/>
      <c r="O155" s="177" t="e">
        <f t="shared" si="49"/>
        <v>#N/A</v>
      </c>
      <c r="P155" s="201">
        <f>VLOOKUP($P$138,'[13]input diverse'!$L$64:$AC$65,8,0)</f>
        <v>0.89</v>
      </c>
      <c r="Q155" s="201" t="e">
        <f t="shared" si="50"/>
        <v>#N/A</v>
      </c>
    </row>
    <row r="156" spans="1:30" s="155" customFormat="1" ht="23.5" x14ac:dyDescent="0.55000000000000004">
      <c r="A156" s="171">
        <v>1</v>
      </c>
      <c r="B156" s="202">
        <f>VLOOKUP($B$138,[13]granulometrie!$B$4:$S$52,7,FALSE)/100</f>
        <v>0.88</v>
      </c>
      <c r="C156" s="174">
        <f>IF(B156="","",B156*$B$142)</f>
        <v>0.52800000000000002</v>
      </c>
      <c r="D156" s="174">
        <f t="shared" si="44"/>
        <v>0.52800000000000002</v>
      </c>
      <c r="E156" s="172" t="e">
        <f>VLOOKUP($E$138,[13]granulometrie!$B$4:$S$52,7,FALSE)/100</f>
        <v>#N/A</v>
      </c>
      <c r="F156" s="174" t="e">
        <f>IF(E156="","",E156*$E$142)</f>
        <v>#N/A</v>
      </c>
      <c r="G156" s="174" t="e">
        <f t="shared" si="45"/>
        <v>#N/A</v>
      </c>
      <c r="H156" s="172">
        <f>VLOOKUP($H$138,[13]granulometrie!$B$4:$S$52,7,FALSE)/100</f>
        <v>0.03</v>
      </c>
      <c r="I156" s="174">
        <f t="shared" si="46"/>
        <v>0</v>
      </c>
      <c r="J156" s="172">
        <f>VLOOKUP($J$138,[13]granulometrie!$B$4:$S$52,7,FALSE)/100</f>
        <v>1.0999999999999999E-2</v>
      </c>
      <c r="K156" s="174">
        <f t="shared" si="47"/>
        <v>0</v>
      </c>
      <c r="L156" s="175">
        <f>VLOOKUP($L$138,[13]granulometrie!$B$4:$S$52,7,FALSE)/100</f>
        <v>0.01</v>
      </c>
      <c r="M156" s="174">
        <f t="shared" si="48"/>
        <v>0</v>
      </c>
      <c r="N156" s="177" t="e">
        <f>IF($B$139="","",SUM(C156,F156))</f>
        <v>#N/A</v>
      </c>
      <c r="O156" s="177" t="e">
        <f t="shared" si="49"/>
        <v>#N/A</v>
      </c>
      <c r="P156" s="201">
        <f>VLOOKUP($P$138,'[13]input diverse'!$L$64:$AC$65,7,0)</f>
        <v>0.75</v>
      </c>
      <c r="Q156" s="201" t="e">
        <f t="shared" si="50"/>
        <v>#N/A</v>
      </c>
      <c r="V156" s="203" t="s">
        <v>158</v>
      </c>
      <c r="W156" s="203"/>
      <c r="X156" s="203"/>
      <c r="Y156" s="203"/>
      <c r="Z156" s="203"/>
      <c r="AA156" s="204"/>
      <c r="AB156" s="204"/>
      <c r="AC156" s="204"/>
      <c r="AD156" s="204"/>
    </row>
    <row r="157" spans="1:30" s="155" customFormat="1" ht="14.5" x14ac:dyDescent="0.35">
      <c r="A157" s="186">
        <v>0.5</v>
      </c>
      <c r="B157" s="202">
        <f>VLOOKUP($B$138,[13]granulometrie!$B$4:$S$52,6,FALSE)/100</f>
        <v>0.72</v>
      </c>
      <c r="C157" s="174">
        <f>IF(B157="","",B157*$B$142)</f>
        <v>0.432</v>
      </c>
      <c r="D157" s="174">
        <f t="shared" si="44"/>
        <v>0.432</v>
      </c>
      <c r="E157" s="172" t="e">
        <f>VLOOKUP($E$138,[13]granulometrie!$B$4:$S$52,6,FALSE)/100</f>
        <v>#N/A</v>
      </c>
      <c r="F157" s="174" t="e">
        <f>IF(E157="","",E157*$E$142)</f>
        <v>#N/A</v>
      </c>
      <c r="G157" s="174" t="e">
        <f t="shared" si="45"/>
        <v>#N/A</v>
      </c>
      <c r="H157" s="172">
        <f>VLOOKUP($H$138,[13]granulometrie!$B$4:$S$52,6,FALSE)/100</f>
        <v>2.1000000000000001E-2</v>
      </c>
      <c r="I157" s="174">
        <f t="shared" si="46"/>
        <v>0</v>
      </c>
      <c r="J157" s="172">
        <f>VLOOKUP($J$138,[13]granulometrie!$B$4:$S$52,6,FALSE)/100</f>
        <v>1.0999999999999999E-2</v>
      </c>
      <c r="K157" s="174">
        <f t="shared" si="47"/>
        <v>0</v>
      </c>
      <c r="L157" s="175">
        <f>VLOOKUP($L$138,[13]granulometrie!$B$4:$S$52,6,FALSE)/100</f>
        <v>0.01</v>
      </c>
      <c r="M157" s="174">
        <f t="shared" si="48"/>
        <v>0</v>
      </c>
      <c r="N157" s="177" t="e">
        <f>IF($B$139="","",SUM(C157,F157))</f>
        <v>#N/A</v>
      </c>
      <c r="O157" s="177" t="e">
        <f t="shared" si="49"/>
        <v>#N/A</v>
      </c>
      <c r="P157" s="201">
        <f>VLOOKUP($P$138,'[13]input diverse'!$L$64:$AC$65,6,0)</f>
        <v>0.55000000000000004</v>
      </c>
      <c r="Q157" s="201" t="e">
        <f t="shared" si="50"/>
        <v>#N/A</v>
      </c>
    </row>
    <row r="158" spans="1:30" s="155" customFormat="1" ht="14.5" x14ac:dyDescent="0.35">
      <c r="A158" s="186">
        <v>0.25</v>
      </c>
      <c r="B158" s="202">
        <f>VLOOKUP($B$138,[13]granulometrie!$B$4:$S$52,5,FALSE)/100</f>
        <v>0.24</v>
      </c>
      <c r="C158" s="174">
        <f>IF(B158="","",B158*$B$142)</f>
        <v>0.14399999999999999</v>
      </c>
      <c r="D158" s="174">
        <f t="shared" si="44"/>
        <v>0.14399999999999999</v>
      </c>
      <c r="E158" s="172" t="e">
        <f>VLOOKUP($E$138,[13]granulometrie!$B$4:$S$52,5,FALSE)/100</f>
        <v>#N/A</v>
      </c>
      <c r="F158" s="174" t="e">
        <f>IF(E158="","",E158*$E$142)</f>
        <v>#N/A</v>
      </c>
      <c r="G158" s="174" t="e">
        <f t="shared" si="45"/>
        <v>#N/A</v>
      </c>
      <c r="H158" s="172">
        <f>VLOOKUP($H$138,[13]granulometrie!$B$4:$S$52,5,FALSE)/100</f>
        <v>2.1000000000000001E-2</v>
      </c>
      <c r="I158" s="174">
        <f t="shared" si="46"/>
        <v>0</v>
      </c>
      <c r="J158" s="172">
        <f>VLOOKUP($J$138,[13]granulometrie!$B$4:$S$52,5,FALSE)/100</f>
        <v>1.0999999999999999E-2</v>
      </c>
      <c r="K158" s="174">
        <f t="shared" si="47"/>
        <v>0</v>
      </c>
      <c r="L158" s="175">
        <f>VLOOKUP($L$138,[13]granulometrie!$B$4:$S$52,5,FALSE)/100</f>
        <v>0.01</v>
      </c>
      <c r="M158" s="174">
        <f t="shared" si="48"/>
        <v>0</v>
      </c>
      <c r="N158" s="177" t="e">
        <f>IF($B$139="","",SUM(C158,F158))</f>
        <v>#N/A</v>
      </c>
      <c r="O158" s="177" t="e">
        <f t="shared" si="49"/>
        <v>#N/A</v>
      </c>
      <c r="P158" s="201">
        <f>VLOOKUP($P$138,'[13]input diverse'!$L$64:$AC$65,5,0)</f>
        <v>0.14000000000000001</v>
      </c>
      <c r="Q158" s="201" t="e">
        <f t="shared" si="50"/>
        <v>#N/A</v>
      </c>
    </row>
    <row r="159" spans="1:30" s="155" customFormat="1" ht="14.5" x14ac:dyDescent="0.35">
      <c r="A159" s="186">
        <v>0.125</v>
      </c>
      <c r="B159" s="175">
        <f>VLOOKUP($B$138,[13]granulometrie!$B$4:$S$52,4,FALSE)/100</f>
        <v>0.01</v>
      </c>
      <c r="C159" s="174">
        <f>IF(B159="","",B159*$B$142)</f>
        <v>6.0000000000000001E-3</v>
      </c>
      <c r="D159" s="174">
        <f t="shared" si="44"/>
        <v>6.0000000000000001E-3</v>
      </c>
      <c r="E159" s="172" t="e">
        <f>VLOOKUP($E$138,[13]granulometrie!$B$4:$S$52,4,FALSE)/100</f>
        <v>#N/A</v>
      </c>
      <c r="F159" s="174" t="e">
        <f>IF(E159="","",E159*$E$142)</f>
        <v>#N/A</v>
      </c>
      <c r="G159" s="174" t="e">
        <f t="shared" si="45"/>
        <v>#N/A</v>
      </c>
      <c r="H159" s="172">
        <f>VLOOKUP($H$138,[13]granulometrie!$B$4:$S$52,4,FALSE)/100</f>
        <v>2.1000000000000001E-2</v>
      </c>
      <c r="I159" s="174">
        <f t="shared" si="46"/>
        <v>0</v>
      </c>
      <c r="J159" s="172">
        <f>VLOOKUP($J$138,[13]granulometrie!$B$4:$S$52,4,FALSE)/100</f>
        <v>1.0999999999999999E-2</v>
      </c>
      <c r="K159" s="174">
        <f t="shared" si="47"/>
        <v>0</v>
      </c>
      <c r="L159" s="175">
        <f>VLOOKUP($L$138,[13]granulometrie!$B$4:$S$52,4,FALSE)/100</f>
        <v>0.01</v>
      </c>
      <c r="M159" s="174">
        <f t="shared" si="48"/>
        <v>0</v>
      </c>
      <c r="N159" s="177" t="e">
        <f>IF($B$139="","",SUM(C159,F159))</f>
        <v>#N/A</v>
      </c>
      <c r="O159" s="177" t="e">
        <f t="shared" si="49"/>
        <v>#N/A</v>
      </c>
      <c r="P159" s="201">
        <f>VLOOKUP($P$138,'[13]input diverse'!$L$64:$AC$65,4,0)</f>
        <v>0.02</v>
      </c>
      <c r="Q159" s="201" t="e">
        <f t="shared" si="50"/>
        <v>#N/A</v>
      </c>
    </row>
    <row r="160" spans="1:30" s="155" customFormat="1" ht="14.5" x14ac:dyDescent="0.35">
      <c r="A160" s="186">
        <v>6.3E-2</v>
      </c>
      <c r="B160" s="190">
        <f>VLOOKUP($B$138,[13]granulometrie!$B$4:$S$52,3,FALSE)/100</f>
        <v>8.0000000000000002E-3</v>
      </c>
      <c r="C160" s="176"/>
      <c r="D160" s="188">
        <f t="shared" si="44"/>
        <v>4.7999999999999996E-3</v>
      </c>
      <c r="E160" s="189" t="e">
        <f>VLOOKUP($E$138,[13]granulometrie!$B$4:$S$52,3,FALSE)/100</f>
        <v>#N/A</v>
      </c>
      <c r="F160" s="176"/>
      <c r="G160" s="174" t="e">
        <f t="shared" si="45"/>
        <v>#N/A</v>
      </c>
      <c r="H160" s="172">
        <f>VLOOKUP($H$138,[13]granulometrie!$B$4:$S$52,3,FALSE)/100</f>
        <v>2.1000000000000001E-2</v>
      </c>
      <c r="I160" s="174">
        <f t="shared" si="46"/>
        <v>0</v>
      </c>
      <c r="J160" s="172">
        <f>VLOOKUP($J$138,[13]granulometrie!$B$4:$S$52,3,FALSE)/100</f>
        <v>1.0999999999999999E-2</v>
      </c>
      <c r="K160" s="174">
        <f t="shared" si="47"/>
        <v>0</v>
      </c>
      <c r="L160" s="190">
        <f>VLOOKUP($L$138,[13]granulometrie!$B$4:$S$52,3,FALSE)/100</f>
        <v>0.01</v>
      </c>
      <c r="M160" s="174">
        <f t="shared" si="48"/>
        <v>0</v>
      </c>
      <c r="N160" s="176"/>
      <c r="O160" s="177" t="e">
        <f t="shared" si="49"/>
        <v>#N/A</v>
      </c>
      <c r="P160" s="201">
        <f>VLOOKUP($P$138,'[13]input diverse'!$L$64:$AC$65,3,0)</f>
        <v>0</v>
      </c>
      <c r="Q160" s="201" t="e">
        <f t="shared" si="50"/>
        <v>#N/A</v>
      </c>
    </row>
    <row r="161" spans="1:19" s="155" customFormat="1" ht="14.5" x14ac:dyDescent="0.35">
      <c r="A161" s="191" t="s">
        <v>148</v>
      </c>
      <c r="B161" s="190">
        <f>VLOOKUP($B$138,[13]granulometrie!$B$4:$S$52,2,FALSE)/100</f>
        <v>0</v>
      </c>
      <c r="C161" s="183"/>
      <c r="D161" s="174">
        <f t="shared" si="44"/>
        <v>0</v>
      </c>
      <c r="E161" s="172" t="e">
        <f>VLOOKUP($E$138,[13]granulometrie!$B$4:$S$52,2,FALSE)/100</f>
        <v>#N/A</v>
      </c>
      <c r="F161" s="183"/>
      <c r="G161" s="174" t="e">
        <f t="shared" si="45"/>
        <v>#N/A</v>
      </c>
      <c r="H161" s="172">
        <f>VLOOKUP($H$138,[13]granulometrie!$B$4:$S$52,2,FALSE)/100</f>
        <v>0</v>
      </c>
      <c r="I161" s="174">
        <f t="shared" si="46"/>
        <v>0</v>
      </c>
      <c r="J161" s="172">
        <f>VLOOKUP($J$138,[13]granulometrie!$B$4:$S$52,2,FALSE)/100</f>
        <v>0</v>
      </c>
      <c r="K161" s="174">
        <f t="shared" si="47"/>
        <v>0</v>
      </c>
      <c r="L161" s="190">
        <f>VLOOKUP($L$138,[13]granulometrie!$B$4:$S$52,2,FALSE)/100</f>
        <v>0</v>
      </c>
      <c r="M161" s="174">
        <f t="shared" si="48"/>
        <v>0</v>
      </c>
      <c r="N161" s="176"/>
      <c r="O161" s="177" t="e">
        <f t="shared" si="49"/>
        <v>#N/A</v>
      </c>
      <c r="P161" s="201">
        <f>VLOOKUP($P$138,'[13]input diverse'!$L$64:$AC$65,2,0)</f>
        <v>0</v>
      </c>
      <c r="Q161" s="201" t="e">
        <f t="shared" si="50"/>
        <v>#N/A</v>
      </c>
    </row>
    <row r="162" spans="1:19" s="155" customFormat="1" ht="14.5" x14ac:dyDescent="0.35">
      <c r="A162" s="193"/>
      <c r="B162" s="193"/>
      <c r="C162" s="193"/>
      <c r="D162" s="193"/>
      <c r="E162" s="193"/>
      <c r="F162" s="193"/>
      <c r="G162" s="193"/>
      <c r="H162" s="193"/>
      <c r="I162" s="193"/>
      <c r="J162" s="193"/>
      <c r="K162" s="193"/>
      <c r="L162" s="193"/>
      <c r="M162" s="193"/>
      <c r="N162" s="193"/>
      <c r="O162" s="193"/>
    </row>
    <row r="163" spans="1:19" s="155" customFormat="1" ht="14.5" x14ac:dyDescent="0.35">
      <c r="A163" s="193"/>
      <c r="B163" s="193"/>
      <c r="C163" s="193"/>
      <c r="D163" s="193"/>
      <c r="E163" s="193"/>
      <c r="F163" s="193"/>
      <c r="G163" s="193"/>
      <c r="H163" s="193"/>
      <c r="I163" s="193"/>
      <c r="J163" s="193"/>
      <c r="K163" s="193"/>
      <c r="L163" s="193"/>
      <c r="M163" s="193"/>
      <c r="N163" s="193"/>
      <c r="O163" s="193"/>
    </row>
    <row r="164" spans="1:19" s="155" customFormat="1" ht="14.5" x14ac:dyDescent="0.35">
      <c r="A164" s="193"/>
      <c r="B164" s="193"/>
      <c r="C164" s="193"/>
      <c r="D164" s="193"/>
      <c r="E164" s="193"/>
      <c r="F164" s="193"/>
      <c r="G164" s="193"/>
      <c r="H164" s="193"/>
      <c r="I164" s="193"/>
      <c r="J164" s="193"/>
      <c r="K164" s="193"/>
      <c r="L164" s="193"/>
      <c r="M164" s="193"/>
      <c r="N164" s="193"/>
      <c r="O164" s="193"/>
    </row>
    <row r="165" spans="1:19" s="155" customFormat="1" ht="14.5" x14ac:dyDescent="0.35">
      <c r="A165" s="193"/>
      <c r="B165" s="205"/>
      <c r="C165" s="206"/>
      <c r="D165" s="206"/>
      <c r="E165" s="206"/>
      <c r="F165" s="206"/>
      <c r="G165" s="206"/>
      <c r="H165" s="206"/>
      <c r="I165" s="206"/>
      <c r="J165" s="206"/>
      <c r="K165" s="206"/>
      <c r="L165" s="206"/>
      <c r="M165" s="206"/>
      <c r="N165" s="193"/>
      <c r="O165" s="193"/>
    </row>
    <row r="166" spans="1:19" s="155" customFormat="1" ht="14.5" x14ac:dyDescent="0.35">
      <c r="A166" s="193"/>
      <c r="B166" s="205"/>
      <c r="C166" s="206"/>
      <c r="D166" s="206"/>
      <c r="E166" s="206"/>
      <c r="F166" s="206"/>
      <c r="G166" s="206"/>
      <c r="H166" s="206"/>
      <c r="I166" s="206"/>
      <c r="J166" s="206"/>
      <c r="K166" s="206"/>
      <c r="L166" s="206"/>
      <c r="M166" s="206"/>
      <c r="N166" s="193"/>
      <c r="O166" s="193"/>
    </row>
    <row r="167" spans="1:19" s="155" customFormat="1" ht="37" x14ac:dyDescent="0.35">
      <c r="A167" s="193"/>
      <c r="B167" s="193"/>
      <c r="C167" s="207">
        <v>40</v>
      </c>
      <c r="D167" s="207">
        <v>31.5</v>
      </c>
      <c r="E167" s="207">
        <v>20</v>
      </c>
      <c r="F167" s="207">
        <v>16</v>
      </c>
      <c r="G167" s="207">
        <v>14</v>
      </c>
      <c r="H167" s="207">
        <v>12.5</v>
      </c>
      <c r="I167" s="207">
        <v>10</v>
      </c>
      <c r="J167" s="207">
        <v>8</v>
      </c>
      <c r="K167" s="207">
        <v>6.3</v>
      </c>
      <c r="L167" s="207">
        <v>4</v>
      </c>
      <c r="M167" s="207">
        <v>2</v>
      </c>
      <c r="N167" s="207">
        <v>1</v>
      </c>
      <c r="O167" s="207">
        <v>0.5</v>
      </c>
      <c r="P167" s="208">
        <v>0.25</v>
      </c>
      <c r="Q167" s="208">
        <v>0.125</v>
      </c>
      <c r="R167" s="208">
        <v>6.3E-2</v>
      </c>
      <c r="S167" s="208" t="s">
        <v>148</v>
      </c>
    </row>
    <row r="168" spans="1:19" s="155" customFormat="1" ht="14.5" x14ac:dyDescent="0.35">
      <c r="A168" s="209" t="s">
        <v>159</v>
      </c>
      <c r="B168" s="210" t="s">
        <v>160</v>
      </c>
      <c r="C168" s="211">
        <v>1</v>
      </c>
      <c r="D168" s="211">
        <v>1</v>
      </c>
      <c r="E168" s="211">
        <v>1</v>
      </c>
      <c r="F168" s="211">
        <v>0.73</v>
      </c>
      <c r="G168" s="211">
        <v>0.65</v>
      </c>
      <c r="H168" s="211">
        <v>0.6</v>
      </c>
      <c r="I168" s="211">
        <v>0.55000000000000004</v>
      </c>
      <c r="J168" s="211">
        <v>0.47</v>
      </c>
      <c r="K168" s="211">
        <v>0.36</v>
      </c>
      <c r="L168" s="211">
        <v>0.28000000000000003</v>
      </c>
      <c r="M168" s="211">
        <v>0.18</v>
      </c>
      <c r="N168" s="211">
        <v>0.1</v>
      </c>
      <c r="O168" s="211">
        <v>0.05</v>
      </c>
      <c r="P168" s="211">
        <v>0.02</v>
      </c>
      <c r="Q168" s="211">
        <v>0</v>
      </c>
      <c r="R168" s="212">
        <v>0</v>
      </c>
      <c r="S168" s="212">
        <v>0</v>
      </c>
    </row>
    <row r="169" spans="1:19" s="155" customFormat="1" ht="14.5" x14ac:dyDescent="0.35">
      <c r="A169" s="209" t="s">
        <v>161</v>
      </c>
      <c r="B169" s="210" t="s">
        <v>162</v>
      </c>
      <c r="C169" s="211">
        <v>1</v>
      </c>
      <c r="D169" s="211">
        <v>1</v>
      </c>
      <c r="E169" s="211">
        <v>1</v>
      </c>
      <c r="F169" s="211">
        <v>0.94</v>
      </c>
      <c r="G169" s="211">
        <v>0.88</v>
      </c>
      <c r="H169" s="211">
        <v>0.82</v>
      </c>
      <c r="I169" s="211">
        <v>0.76</v>
      </c>
      <c r="J169" s="211">
        <v>0.7</v>
      </c>
      <c r="K169" s="211">
        <v>0.62</v>
      </c>
      <c r="L169" s="211">
        <v>0.54</v>
      </c>
      <c r="M169" s="211">
        <v>0.4</v>
      </c>
      <c r="N169" s="211">
        <v>0.3</v>
      </c>
      <c r="O169" s="211">
        <v>0.21</v>
      </c>
      <c r="P169" s="212">
        <v>0.13</v>
      </c>
      <c r="Q169" s="212">
        <v>0.05</v>
      </c>
      <c r="R169" s="212">
        <v>0</v>
      </c>
      <c r="S169" s="212">
        <v>0</v>
      </c>
    </row>
    <row r="170" spans="1:19" s="155" customFormat="1" ht="14.5" x14ac:dyDescent="0.35">
      <c r="A170" s="209" t="s">
        <v>163</v>
      </c>
      <c r="B170" s="210" t="s">
        <v>164</v>
      </c>
      <c r="C170" s="211">
        <v>1</v>
      </c>
      <c r="D170" s="211">
        <v>1</v>
      </c>
      <c r="E170" s="211">
        <v>1</v>
      </c>
      <c r="F170" s="211">
        <v>0.94</v>
      </c>
      <c r="G170" s="211">
        <v>0.92</v>
      </c>
      <c r="H170" s="211">
        <v>0.88</v>
      </c>
      <c r="I170" s="211">
        <v>0.86</v>
      </c>
      <c r="J170" s="211">
        <v>0.82</v>
      </c>
      <c r="K170" s="211">
        <v>0.76</v>
      </c>
      <c r="L170" s="211">
        <v>0.7</v>
      </c>
      <c r="M170" s="211">
        <v>0.57999999999999996</v>
      </c>
      <c r="N170" s="211">
        <v>0.46</v>
      </c>
      <c r="O170" s="211">
        <v>0.34</v>
      </c>
      <c r="P170" s="212">
        <v>0.34</v>
      </c>
      <c r="Q170" s="212">
        <v>0.1</v>
      </c>
      <c r="R170" s="212">
        <v>0</v>
      </c>
      <c r="S170" s="212">
        <v>0</v>
      </c>
    </row>
    <row r="171" spans="1:19" s="155" customFormat="1" ht="14.5" x14ac:dyDescent="0.35">
      <c r="A171" s="209" t="s">
        <v>165</v>
      </c>
      <c r="B171" s="210" t="s">
        <v>166</v>
      </c>
      <c r="C171" s="211">
        <v>1</v>
      </c>
      <c r="D171" s="211">
        <v>1</v>
      </c>
      <c r="E171" s="211">
        <v>0.98</v>
      </c>
      <c r="F171" s="211">
        <v>0.85</v>
      </c>
      <c r="G171" s="211">
        <v>0.79</v>
      </c>
      <c r="H171" s="211">
        <v>0.77</v>
      </c>
      <c r="I171" s="211">
        <v>0.71</v>
      </c>
      <c r="J171" s="211">
        <v>0.64</v>
      </c>
      <c r="K171" s="211">
        <v>0.59</v>
      </c>
      <c r="L171" s="211">
        <v>0.54</v>
      </c>
      <c r="M171" s="211">
        <v>0.45</v>
      </c>
      <c r="N171" s="211">
        <v>0.4</v>
      </c>
      <c r="O171" s="211">
        <v>0.34</v>
      </c>
      <c r="P171" s="212">
        <v>0.1</v>
      </c>
      <c r="Q171" s="212">
        <v>0.05</v>
      </c>
      <c r="R171" s="212">
        <v>0</v>
      </c>
      <c r="S171" s="212">
        <v>0</v>
      </c>
    </row>
    <row r="172" spans="1:19" s="155" customFormat="1" ht="14.5" x14ac:dyDescent="0.35">
      <c r="A172" s="209" t="s">
        <v>165</v>
      </c>
      <c r="B172" s="210" t="s">
        <v>167</v>
      </c>
      <c r="C172" s="211">
        <v>1</v>
      </c>
      <c r="D172" s="211">
        <v>1</v>
      </c>
      <c r="E172" s="211">
        <v>0.99</v>
      </c>
      <c r="F172" s="211">
        <v>0.8</v>
      </c>
      <c r="G172" s="211">
        <v>0.74</v>
      </c>
      <c r="H172" s="211">
        <v>0.68</v>
      </c>
      <c r="I172" s="211">
        <v>0.64</v>
      </c>
      <c r="J172" s="211">
        <v>0.56000000000000005</v>
      </c>
      <c r="K172" s="211">
        <v>0.52</v>
      </c>
      <c r="L172" s="211">
        <v>0.47</v>
      </c>
      <c r="M172" s="211">
        <v>0.44</v>
      </c>
      <c r="N172" s="211">
        <v>0.4</v>
      </c>
      <c r="O172" s="211">
        <v>0.34</v>
      </c>
      <c r="P172" s="212">
        <v>0.1</v>
      </c>
      <c r="Q172" s="212">
        <v>0.05</v>
      </c>
      <c r="R172" s="212">
        <v>0</v>
      </c>
      <c r="S172" s="212">
        <v>0</v>
      </c>
    </row>
    <row r="173" spans="1:19" s="155" customFormat="1" ht="14.5" x14ac:dyDescent="0.35">
      <c r="A173" s="209" t="s">
        <v>168</v>
      </c>
      <c r="B173" s="210" t="s">
        <v>169</v>
      </c>
      <c r="C173" s="211">
        <v>1</v>
      </c>
      <c r="D173" s="211">
        <v>1</v>
      </c>
      <c r="E173" s="211">
        <v>0.98</v>
      </c>
      <c r="F173" s="211">
        <v>0.85</v>
      </c>
      <c r="G173" s="211">
        <v>0.79</v>
      </c>
      <c r="H173" s="211">
        <v>0.77</v>
      </c>
      <c r="I173" s="211">
        <v>0.71</v>
      </c>
      <c r="J173" s="211">
        <v>0.65</v>
      </c>
      <c r="K173" s="211">
        <v>0.59</v>
      </c>
      <c r="L173" s="211">
        <v>0.53</v>
      </c>
      <c r="M173" s="211">
        <v>0.43</v>
      </c>
      <c r="N173" s="211">
        <v>0.37</v>
      </c>
      <c r="O173" s="211">
        <v>0.27</v>
      </c>
      <c r="P173" s="212">
        <v>0.08</v>
      </c>
      <c r="Q173" s="212">
        <v>0.04</v>
      </c>
      <c r="R173" s="212">
        <v>0</v>
      </c>
      <c r="S173" s="212">
        <v>0</v>
      </c>
    </row>
    <row r="174" spans="1:19" s="155" customFormat="1" ht="14.5" x14ac:dyDescent="0.35">
      <c r="A174" s="209" t="s">
        <v>170</v>
      </c>
      <c r="B174" s="210" t="s">
        <v>171</v>
      </c>
      <c r="C174" s="211">
        <v>1</v>
      </c>
      <c r="D174" s="211">
        <v>1</v>
      </c>
      <c r="E174" s="211">
        <v>0.97</v>
      </c>
      <c r="F174" s="211">
        <v>0.86</v>
      </c>
      <c r="G174" s="211">
        <v>0.8</v>
      </c>
      <c r="H174" s="211">
        <v>0.76</v>
      </c>
      <c r="I174" s="211">
        <v>0.69</v>
      </c>
      <c r="J174" s="211">
        <v>0.64</v>
      </c>
      <c r="K174" s="211">
        <v>0.57999999999999996</v>
      </c>
      <c r="L174" s="211">
        <v>0.49</v>
      </c>
      <c r="M174" s="211">
        <v>0.41</v>
      </c>
      <c r="N174" s="211">
        <v>0.37</v>
      </c>
      <c r="O174" s="211">
        <v>0.28999999999999998</v>
      </c>
      <c r="P174" s="212">
        <v>0.09</v>
      </c>
      <c r="Q174" s="212">
        <v>0.04</v>
      </c>
      <c r="R174" s="212">
        <v>0.01</v>
      </c>
      <c r="S174" s="212">
        <v>0</v>
      </c>
    </row>
    <row r="175" spans="1:19" s="155" customFormat="1" ht="14.5" x14ac:dyDescent="0.35">
      <c r="A175" s="209" t="s">
        <v>172</v>
      </c>
      <c r="B175" s="210" t="s">
        <v>173</v>
      </c>
      <c r="C175" s="211">
        <v>1</v>
      </c>
      <c r="D175" s="211">
        <v>1</v>
      </c>
      <c r="E175" s="211">
        <v>1</v>
      </c>
      <c r="F175" s="211">
        <v>0.99</v>
      </c>
      <c r="G175" s="211">
        <v>0.95</v>
      </c>
      <c r="H175" s="211">
        <v>0.89</v>
      </c>
      <c r="I175" s="211">
        <v>0.76</v>
      </c>
      <c r="J175" s="211">
        <v>0.67</v>
      </c>
      <c r="K175" s="211">
        <v>0.6</v>
      </c>
      <c r="L175" s="211">
        <v>0.51</v>
      </c>
      <c r="M175" s="211">
        <v>0.43</v>
      </c>
      <c r="N175" s="211">
        <v>0.38</v>
      </c>
      <c r="O175" s="211">
        <v>0.3</v>
      </c>
      <c r="P175" s="212">
        <v>0.09</v>
      </c>
      <c r="Q175" s="212">
        <v>0.04</v>
      </c>
      <c r="R175" s="212">
        <v>0.01</v>
      </c>
      <c r="S175" s="212">
        <v>0</v>
      </c>
    </row>
    <row r="176" spans="1:19" s="155" customFormat="1" ht="14.5" x14ac:dyDescent="0.35">
      <c r="A176" s="209" t="s">
        <v>174</v>
      </c>
      <c r="B176" s="210" t="s">
        <v>175</v>
      </c>
      <c r="C176" s="211">
        <v>1</v>
      </c>
      <c r="D176" s="211">
        <v>1</v>
      </c>
      <c r="E176" s="211">
        <v>1</v>
      </c>
      <c r="F176" s="211">
        <v>1</v>
      </c>
      <c r="G176" s="211">
        <v>0.98</v>
      </c>
      <c r="H176" s="211">
        <v>0.94</v>
      </c>
      <c r="I176" s="211">
        <v>0.83</v>
      </c>
      <c r="J176" s="211">
        <v>0.71</v>
      </c>
      <c r="K176" s="211">
        <v>0.61</v>
      </c>
      <c r="L176" s="211">
        <v>0.54</v>
      </c>
      <c r="M176" s="211">
        <v>0.43</v>
      </c>
      <c r="N176" s="211">
        <v>0.37</v>
      </c>
      <c r="O176" s="211">
        <v>0.26</v>
      </c>
      <c r="P176" s="212">
        <v>0.1</v>
      </c>
      <c r="Q176" s="212">
        <v>0.08</v>
      </c>
      <c r="R176" s="212">
        <v>0.01</v>
      </c>
      <c r="S176" s="212">
        <v>0</v>
      </c>
    </row>
    <row r="177" spans="1:19" s="155" customFormat="1" ht="14.5" x14ac:dyDescent="0.35">
      <c r="A177" s="209" t="s">
        <v>176</v>
      </c>
      <c r="B177" s="210" t="s">
        <v>177</v>
      </c>
      <c r="C177" s="211">
        <v>1</v>
      </c>
      <c r="D177" s="211">
        <v>1</v>
      </c>
      <c r="E177" s="211">
        <v>1</v>
      </c>
      <c r="F177" s="211">
        <v>1</v>
      </c>
      <c r="G177" s="211">
        <v>0.98</v>
      </c>
      <c r="H177" s="211">
        <v>0.95</v>
      </c>
      <c r="I177" s="211">
        <v>0.83</v>
      </c>
      <c r="J177" s="211">
        <v>0.71</v>
      </c>
      <c r="K177" s="211">
        <v>0.61</v>
      </c>
      <c r="L177" s="211">
        <v>0.54</v>
      </c>
      <c r="M177" s="211">
        <v>0.43</v>
      </c>
      <c r="N177" s="211">
        <v>0.37</v>
      </c>
      <c r="O177" s="211">
        <v>0.27</v>
      </c>
      <c r="P177" s="212">
        <v>0.08</v>
      </c>
      <c r="Q177" s="212">
        <v>0.04</v>
      </c>
      <c r="R177" s="212">
        <v>0.01</v>
      </c>
      <c r="S177" s="212">
        <v>0</v>
      </c>
    </row>
    <row r="178" spans="1:19" s="155" customFormat="1" ht="14.5" x14ac:dyDescent="0.35">
      <c r="A178" s="209" t="s">
        <v>178</v>
      </c>
      <c r="B178" s="210" t="s">
        <v>142</v>
      </c>
      <c r="C178" s="211">
        <v>1</v>
      </c>
      <c r="D178" s="211">
        <v>1</v>
      </c>
      <c r="E178" s="211">
        <v>1</v>
      </c>
      <c r="F178" s="211">
        <v>1</v>
      </c>
      <c r="G178" s="211">
        <v>1</v>
      </c>
      <c r="H178" s="211">
        <v>1</v>
      </c>
      <c r="I178" s="211">
        <v>1</v>
      </c>
      <c r="J178" s="211">
        <v>1</v>
      </c>
      <c r="K178" s="211">
        <v>0.96</v>
      </c>
      <c r="L178" s="211">
        <v>0.73</v>
      </c>
      <c r="M178" s="211">
        <v>0.48</v>
      </c>
      <c r="N178" s="211">
        <v>0.4</v>
      </c>
      <c r="O178" s="211">
        <v>0.31</v>
      </c>
      <c r="P178" s="212">
        <v>0.1</v>
      </c>
      <c r="Q178" s="212">
        <v>0.01</v>
      </c>
      <c r="R178" s="212">
        <v>0.01</v>
      </c>
      <c r="S178" s="212">
        <v>0</v>
      </c>
    </row>
    <row r="179" spans="1:19" s="155" customFormat="1" ht="14.5" x14ac:dyDescent="0.35">
      <c r="A179" s="209" t="s">
        <v>179</v>
      </c>
      <c r="B179" s="210" t="s">
        <v>180</v>
      </c>
      <c r="C179" s="211">
        <v>1</v>
      </c>
      <c r="D179" s="211">
        <v>1</v>
      </c>
      <c r="E179" s="211">
        <v>0.98</v>
      </c>
      <c r="F179" s="211">
        <v>0.83</v>
      </c>
      <c r="G179" s="211">
        <v>0.8</v>
      </c>
      <c r="H179" s="211">
        <v>0.75</v>
      </c>
      <c r="I179" s="211">
        <v>0.7</v>
      </c>
      <c r="J179" s="211">
        <v>0.65</v>
      </c>
      <c r="K179" s="211">
        <v>0.54</v>
      </c>
      <c r="L179" s="211">
        <v>0.38</v>
      </c>
      <c r="M179" s="211">
        <v>0.34</v>
      </c>
      <c r="N179" s="211">
        <v>0.3</v>
      </c>
      <c r="O179" s="211">
        <v>0.23</v>
      </c>
      <c r="P179" s="212">
        <v>0.1</v>
      </c>
      <c r="Q179" s="212">
        <v>0.01</v>
      </c>
      <c r="R179" s="212">
        <v>0.01</v>
      </c>
      <c r="S179" s="212">
        <v>0</v>
      </c>
    </row>
    <row r="180" spans="1:19" s="155" customFormat="1" ht="14.5" x14ac:dyDescent="0.35">
      <c r="A180" s="209" t="s">
        <v>181</v>
      </c>
      <c r="B180" s="210" t="s">
        <v>182</v>
      </c>
      <c r="C180" s="211">
        <v>1</v>
      </c>
      <c r="D180" s="211">
        <v>1</v>
      </c>
      <c r="E180" s="211">
        <v>0.98</v>
      </c>
      <c r="F180" s="211">
        <v>0.9</v>
      </c>
      <c r="G180" s="211">
        <v>0.82</v>
      </c>
      <c r="H180" s="211">
        <v>0.78</v>
      </c>
      <c r="I180" s="211">
        <v>0.7</v>
      </c>
      <c r="J180" s="211">
        <v>0.6</v>
      </c>
      <c r="K180" s="211">
        <v>0.52</v>
      </c>
      <c r="L180" s="211">
        <v>0.46</v>
      </c>
      <c r="M180" s="211">
        <v>0.4</v>
      </c>
      <c r="N180" s="211">
        <v>0.36</v>
      </c>
      <c r="O180" s="211">
        <v>0.28000000000000003</v>
      </c>
      <c r="P180" s="212">
        <v>0.14000000000000001</v>
      </c>
      <c r="Q180" s="212">
        <v>0.02</v>
      </c>
      <c r="R180" s="212">
        <v>0.01</v>
      </c>
      <c r="S180" s="212">
        <v>0</v>
      </c>
    </row>
    <row r="181" spans="1:19" s="155" customFormat="1" ht="14.5" x14ac:dyDescent="0.35">
      <c r="A181" s="209" t="s">
        <v>183</v>
      </c>
      <c r="B181" s="210" t="s">
        <v>184</v>
      </c>
      <c r="C181" s="211">
        <v>1</v>
      </c>
      <c r="D181" s="211">
        <v>1</v>
      </c>
      <c r="E181" s="211">
        <v>0.98</v>
      </c>
      <c r="F181" s="211">
        <v>0.9</v>
      </c>
      <c r="G181" s="211">
        <v>0.82</v>
      </c>
      <c r="H181" s="211">
        <v>0.78</v>
      </c>
      <c r="I181" s="211">
        <v>0.57999999999999996</v>
      </c>
      <c r="J181" s="211">
        <v>0.5</v>
      </c>
      <c r="K181" s="211">
        <v>0.47</v>
      </c>
      <c r="L181" s="211">
        <v>0.41</v>
      </c>
      <c r="M181" s="211">
        <v>0.33</v>
      </c>
      <c r="N181" s="211">
        <v>0.3</v>
      </c>
      <c r="O181" s="211">
        <v>0.22</v>
      </c>
      <c r="P181" s="212">
        <v>0.1</v>
      </c>
      <c r="Q181" s="212">
        <v>0.02</v>
      </c>
      <c r="R181" s="212">
        <v>0.01</v>
      </c>
      <c r="S181" s="212">
        <v>0</v>
      </c>
    </row>
    <row r="186" spans="1:19" x14ac:dyDescent="0.35">
      <c r="A186" s="54" t="s">
        <v>185</v>
      </c>
      <c r="B186" s="54" t="s">
        <v>186</v>
      </c>
      <c r="C186" s="213">
        <v>0.45</v>
      </c>
      <c r="D186" s="54" t="s">
        <v>187</v>
      </c>
      <c r="E186" s="213">
        <v>0.55000000000000004</v>
      </c>
    </row>
    <row r="187" spans="1:19" x14ac:dyDescent="0.35">
      <c r="A187" s="54" t="s">
        <v>188</v>
      </c>
      <c r="B187" s="54" t="s">
        <v>186</v>
      </c>
      <c r="C187" s="213">
        <v>0.47</v>
      </c>
      <c r="D187" s="54" t="s">
        <v>187</v>
      </c>
      <c r="E187" s="213">
        <v>0.53</v>
      </c>
    </row>
    <row r="188" spans="1:19" x14ac:dyDescent="0.35">
      <c r="A188" s="54" t="s">
        <v>189</v>
      </c>
      <c r="B188" s="54" t="s">
        <v>186</v>
      </c>
      <c r="C188" s="213">
        <v>0.47</v>
      </c>
      <c r="D188" s="54" t="s">
        <v>187</v>
      </c>
      <c r="E188" s="213">
        <v>0.53</v>
      </c>
    </row>
    <row r="189" spans="1:19" x14ac:dyDescent="0.35">
      <c r="A189" s="54" t="s">
        <v>179</v>
      </c>
      <c r="B189" s="54" t="s">
        <v>186</v>
      </c>
      <c r="C189" s="213">
        <v>0.36</v>
      </c>
      <c r="D189" s="54" t="s">
        <v>187</v>
      </c>
      <c r="E189" s="213">
        <v>0.64</v>
      </c>
    </row>
    <row r="190" spans="1:19" x14ac:dyDescent="0.35">
      <c r="A190" s="54" t="s">
        <v>12</v>
      </c>
      <c r="B190" s="54" t="s">
        <v>186</v>
      </c>
      <c r="C190" s="213">
        <v>0.41499999999999998</v>
      </c>
      <c r="D190" s="54" t="s">
        <v>187</v>
      </c>
      <c r="E190" s="213">
        <v>0.58499999999999996</v>
      </c>
    </row>
  </sheetData>
  <sheetProtection selectLockedCells="1"/>
  <mergeCells count="193">
    <mergeCell ref="B1:J1"/>
    <mergeCell ref="L1:N1"/>
    <mergeCell ref="C2:D2"/>
    <mergeCell ref="F2:G2"/>
    <mergeCell ref="H2:I2"/>
    <mergeCell ref="J2:K2"/>
    <mergeCell ref="F5:G5"/>
    <mergeCell ref="H5:N5"/>
    <mergeCell ref="AT5:AV5"/>
    <mergeCell ref="BI5:BL5"/>
    <mergeCell ref="A6:A7"/>
    <mergeCell ref="B7:N7"/>
    <mergeCell ref="AX3:BA3"/>
    <mergeCell ref="BB3:BE3"/>
    <mergeCell ref="BF3:BF4"/>
    <mergeCell ref="BG3:BG4"/>
    <mergeCell ref="C4:D4"/>
    <mergeCell ref="F4:G4"/>
    <mergeCell ref="H4:I4"/>
    <mergeCell ref="J4:K4"/>
    <mergeCell ref="C3:D3"/>
    <mergeCell ref="F3:G3"/>
    <mergeCell ref="H3:I3"/>
    <mergeCell ref="J3:K3"/>
    <mergeCell ref="AT3:AV4"/>
    <mergeCell ref="AW3:AW4"/>
    <mergeCell ref="BI10:BL10"/>
    <mergeCell ref="C11:D11"/>
    <mergeCell ref="M11:N11"/>
    <mergeCell ref="V11:W11"/>
    <mergeCell ref="AT11:AV11"/>
    <mergeCell ref="BI11:BL11"/>
    <mergeCell ref="AT8:AV8"/>
    <mergeCell ref="BI8:BL8"/>
    <mergeCell ref="C9:D9"/>
    <mergeCell ref="E9:G9"/>
    <mergeCell ref="H9:L9"/>
    <mergeCell ref="O9:O10"/>
    <mergeCell ref="P9:P10"/>
    <mergeCell ref="AT9:AV9"/>
    <mergeCell ref="BI9:BL9"/>
    <mergeCell ref="C10:D10"/>
    <mergeCell ref="C12:D12"/>
    <mergeCell ref="M12:N12"/>
    <mergeCell ref="V12:W12"/>
    <mergeCell ref="AT12:AV12"/>
    <mergeCell ref="C13:D13"/>
    <mergeCell ref="M13:N13"/>
    <mergeCell ref="AT13:AV13"/>
    <mergeCell ref="H10:I10"/>
    <mergeCell ref="M10:N10"/>
    <mergeCell ref="AT10:AV10"/>
    <mergeCell ref="C17:D17"/>
    <mergeCell ref="AT17:AV17"/>
    <mergeCell ref="AT18:AV18"/>
    <mergeCell ref="AT19:AV19"/>
    <mergeCell ref="AT20:AV20"/>
    <mergeCell ref="AT21:AV21"/>
    <mergeCell ref="C14:D14"/>
    <mergeCell ref="M14:N14"/>
    <mergeCell ref="AT14:AV14"/>
    <mergeCell ref="C15:D15"/>
    <mergeCell ref="AT15:AV15"/>
    <mergeCell ref="C16:D16"/>
    <mergeCell ref="AT16:AV16"/>
    <mergeCell ref="AT22:AV22"/>
    <mergeCell ref="AT23:AV23"/>
    <mergeCell ref="AX25:CO25"/>
    <mergeCell ref="C26:D26"/>
    <mergeCell ref="AX26:AY26"/>
    <mergeCell ref="AZ26:BA26"/>
    <mergeCell ref="BB26:BC26"/>
    <mergeCell ref="BD26:BE26"/>
    <mergeCell ref="BF26:BG26"/>
    <mergeCell ref="BH26:BI26"/>
    <mergeCell ref="Q33:R33"/>
    <mergeCell ref="CH26:CI26"/>
    <mergeCell ref="CJ26:CK26"/>
    <mergeCell ref="CL26:CM26"/>
    <mergeCell ref="CN26:CO26"/>
    <mergeCell ref="C27:D27"/>
    <mergeCell ref="Q27:Q28"/>
    <mergeCell ref="R27:R28"/>
    <mergeCell ref="C28:D28"/>
    <mergeCell ref="BV26:BW26"/>
    <mergeCell ref="BX26:BY26"/>
    <mergeCell ref="BZ26:CA26"/>
    <mergeCell ref="CB26:CC26"/>
    <mergeCell ref="CD26:CE26"/>
    <mergeCell ref="CF26:CG26"/>
    <mergeCell ref="BJ26:BK26"/>
    <mergeCell ref="BL26:BM26"/>
    <mergeCell ref="BN26:BO26"/>
    <mergeCell ref="BP26:BQ26"/>
    <mergeCell ref="BR26:BS26"/>
    <mergeCell ref="BT26:BU26"/>
    <mergeCell ref="K36:K37"/>
    <mergeCell ref="L36:L37"/>
    <mergeCell ref="M36:N36"/>
    <mergeCell ref="E42:E43"/>
    <mergeCell ref="F42:F43"/>
    <mergeCell ref="I42:I43"/>
    <mergeCell ref="C29:D29"/>
    <mergeCell ref="C30:D30"/>
    <mergeCell ref="C31:D31"/>
    <mergeCell ref="C32:D32"/>
    <mergeCell ref="K32:M32"/>
    <mergeCell ref="U50:V50"/>
    <mergeCell ref="K60:L60"/>
    <mergeCell ref="A107:O107"/>
    <mergeCell ref="A108:O108"/>
    <mergeCell ref="B109:D109"/>
    <mergeCell ref="E109:G109"/>
    <mergeCell ref="H109:I109"/>
    <mergeCell ref="J109:K109"/>
    <mergeCell ref="L109:M109"/>
    <mergeCell ref="U112:V112"/>
    <mergeCell ref="B113:D113"/>
    <mergeCell ref="E113:G113"/>
    <mergeCell ref="H113:I113"/>
    <mergeCell ref="J113:K113"/>
    <mergeCell ref="L113:M113"/>
    <mergeCell ref="N113:O113"/>
    <mergeCell ref="B110:O110"/>
    <mergeCell ref="B111:O111"/>
    <mergeCell ref="B112:D112"/>
    <mergeCell ref="E112:G112"/>
    <mergeCell ref="H112:I112"/>
    <mergeCell ref="J112:K112"/>
    <mergeCell ref="L112:M112"/>
    <mergeCell ref="N112:O112"/>
    <mergeCell ref="B115:D115"/>
    <mergeCell ref="E115:G115"/>
    <mergeCell ref="H115:I115"/>
    <mergeCell ref="J115:K115"/>
    <mergeCell ref="L115:M115"/>
    <mergeCell ref="N115:O115"/>
    <mergeCell ref="B114:D114"/>
    <mergeCell ref="E114:G114"/>
    <mergeCell ref="H114:I114"/>
    <mergeCell ref="J114:K114"/>
    <mergeCell ref="L114:M114"/>
    <mergeCell ref="N114:O114"/>
    <mergeCell ref="U122:V122"/>
    <mergeCell ref="Q123:R123"/>
    <mergeCell ref="U123:V123"/>
    <mergeCell ref="U124:V124"/>
    <mergeCell ref="Q125:R125"/>
    <mergeCell ref="U125:V125"/>
    <mergeCell ref="U116:V116"/>
    <mergeCell ref="U117:V117"/>
    <mergeCell ref="U118:V118"/>
    <mergeCell ref="U119:V119"/>
    <mergeCell ref="U120:V120"/>
    <mergeCell ref="U121:V121"/>
    <mergeCell ref="U132:V132"/>
    <mergeCell ref="B138:D138"/>
    <mergeCell ref="E138:G138"/>
    <mergeCell ref="H138:I138"/>
    <mergeCell ref="J138:K138"/>
    <mergeCell ref="L138:M138"/>
    <mergeCell ref="U126:V126"/>
    <mergeCell ref="U127:V127"/>
    <mergeCell ref="U128:V128"/>
    <mergeCell ref="U129:V129"/>
    <mergeCell ref="U130:V130"/>
    <mergeCell ref="U131:V131"/>
    <mergeCell ref="B142:D142"/>
    <mergeCell ref="E142:G142"/>
    <mergeCell ref="H142:I142"/>
    <mergeCell ref="J142:K142"/>
    <mergeCell ref="L142:M142"/>
    <mergeCell ref="N142:O142"/>
    <mergeCell ref="B139:O139"/>
    <mergeCell ref="B140:O140"/>
    <mergeCell ref="B141:D141"/>
    <mergeCell ref="E141:G141"/>
    <mergeCell ref="H141:I141"/>
    <mergeCell ref="J141:K141"/>
    <mergeCell ref="L141:M141"/>
    <mergeCell ref="N141:O141"/>
    <mergeCell ref="B144:D144"/>
    <mergeCell ref="E144:G144"/>
    <mergeCell ref="H144:I144"/>
    <mergeCell ref="J144:K144"/>
    <mergeCell ref="L144:M144"/>
    <mergeCell ref="N144:O144"/>
    <mergeCell ref="B143:D143"/>
    <mergeCell ref="E143:G143"/>
    <mergeCell ref="H143:I143"/>
    <mergeCell ref="J143:K143"/>
    <mergeCell ref="L143:M143"/>
    <mergeCell ref="N143:O143"/>
  </mergeCells>
  <conditionalFormatting sqref="E144:F144 N145:O161 F153:F155 L144:L161 H144 J144 F160:F161">
    <cfRule type="cellIs" dxfId="54" priority="51" stopIfTrue="1" operator="between">
      <formula>"&lt;$I$15"</formula>
      <formula>"&gt;$J$15"</formula>
    </cfRule>
  </conditionalFormatting>
  <conditionalFormatting sqref="E144:F144 O145:O161 F153">
    <cfRule type="cellIs" dxfId="53" priority="50" stopIfTrue="1" operator="between">
      <formula>"$I$15"</formula>
      <formula>"$J$15"</formula>
    </cfRule>
  </conditionalFormatting>
  <conditionalFormatting sqref="L116:L132">
    <cfRule type="cellIs" dxfId="52" priority="53" stopIfTrue="1" operator="between">
      <formula>"$I$15"</formula>
      <formula>"$J$15"</formula>
    </cfRule>
  </conditionalFormatting>
  <conditionalFormatting sqref="L145:L161">
    <cfRule type="cellIs" dxfId="51" priority="49" stopIfTrue="1" operator="between">
      <formula>"$I$15"</formula>
      <formula>"$J$15"</formula>
    </cfRule>
  </conditionalFormatting>
  <conditionalFormatting sqref="N60">
    <cfRule type="cellIs" dxfId="50" priority="55" operator="equal">
      <formula>"NCF"</formula>
    </cfRule>
    <cfRule type="cellIs" dxfId="49" priority="54" operator="equal">
      <formula>"CF"</formula>
    </cfRule>
  </conditionalFormatting>
  <conditionalFormatting sqref="N116">
    <cfRule type="cellIs" dxfId="48" priority="52" stopIfTrue="1" operator="between">
      <formula>"$I$15"</formula>
      <formula>"$J$15"</formula>
    </cfRule>
  </conditionalFormatting>
  <conditionalFormatting sqref="N127">
    <cfRule type="cellIs" dxfId="47" priority="23" operator="between">
      <formula>$Q$127</formula>
      <formula>$R$127</formula>
    </cfRule>
  </conditionalFormatting>
  <conditionalFormatting sqref="N127:N130">
    <cfRule type="cellIs" dxfId="46" priority="42" operator="lessThan">
      <formula>$Q$26</formula>
    </cfRule>
    <cfRule type="cellIs" dxfId="45" priority="41" operator="greaterThan">
      <formula>$R$26</formula>
    </cfRule>
    <cfRule type="cellIs" dxfId="44" priority="43" operator="between">
      <formula>$Q$26</formula>
      <formula>$R$26</formula>
    </cfRule>
  </conditionalFormatting>
  <conditionalFormatting sqref="N128">
    <cfRule type="cellIs" dxfId="43" priority="22" operator="between">
      <formula>$Q$128</formula>
      <formula>$R$128</formula>
    </cfRule>
  </conditionalFormatting>
  <conditionalFormatting sqref="N129">
    <cfRule type="cellIs" dxfId="42" priority="21" operator="between">
      <formula>$Q$129</formula>
      <formula>$R$129</formula>
    </cfRule>
  </conditionalFormatting>
  <conditionalFormatting sqref="N130">
    <cfRule type="cellIs" dxfId="41" priority="20" operator="between">
      <formula>$Q$130</formula>
      <formula>$R$130</formula>
    </cfRule>
  </conditionalFormatting>
  <conditionalFormatting sqref="N145">
    <cfRule type="cellIs" dxfId="40" priority="48" stopIfTrue="1" operator="between">
      <formula>"$I$15"</formula>
      <formula>"$J$15"</formula>
    </cfRule>
  </conditionalFormatting>
  <conditionalFormatting sqref="N156:N159">
    <cfRule type="cellIs" dxfId="39" priority="47" stopIfTrue="1" operator="between">
      <formula>"$I$15"</formula>
      <formula>"$J$15"</formula>
    </cfRule>
  </conditionalFormatting>
  <conditionalFormatting sqref="O116">
    <cfRule type="cellIs" dxfId="38" priority="40" operator="between">
      <formula>$W$116</formula>
      <formula>$X$116</formula>
    </cfRule>
    <cfRule type="cellIs" dxfId="37" priority="19" operator="greaterThan">
      <formula>$X$116</formula>
    </cfRule>
  </conditionalFormatting>
  <conditionalFormatting sqref="O117">
    <cfRule type="cellIs" dxfId="36" priority="39" operator="between">
      <formula>$W$117</formula>
      <formula>$X$117</formula>
    </cfRule>
    <cfRule type="cellIs" dxfId="35" priority="18" operator="greaterThan">
      <formula>$X$117</formula>
    </cfRule>
  </conditionalFormatting>
  <conditionalFormatting sqref="O118">
    <cfRule type="cellIs" dxfId="34" priority="17" operator="greaterThan">
      <formula>$X$118</formula>
    </cfRule>
    <cfRule type="cellIs" dxfId="33" priority="38" operator="between">
      <formula>$W$118</formula>
      <formula>$X$118</formula>
    </cfRule>
  </conditionalFormatting>
  <conditionalFormatting sqref="O119">
    <cfRule type="cellIs" dxfId="32" priority="16" operator="greaterThan">
      <formula>$X$119</formula>
    </cfRule>
    <cfRule type="cellIs" dxfId="31" priority="37" operator="between">
      <formula>$W$119</formula>
      <formula>$X$119</formula>
    </cfRule>
  </conditionalFormatting>
  <conditionalFormatting sqref="O120">
    <cfRule type="cellIs" dxfId="30" priority="15" operator="greaterThan">
      <formula>$X$120</formula>
    </cfRule>
    <cfRule type="cellIs" dxfId="29" priority="36" operator="between">
      <formula>$W$120</formula>
      <formula>$X$120</formula>
    </cfRule>
  </conditionalFormatting>
  <conditionalFormatting sqref="O121">
    <cfRule type="cellIs" dxfId="28" priority="13" operator="greaterThan">
      <formula>$X$121</formula>
    </cfRule>
    <cfRule type="cellIs" dxfId="27" priority="35" operator="between">
      <formula>$W$121</formula>
      <formula>$X$121</formula>
    </cfRule>
    <cfRule type="cellIs" dxfId="26" priority="12" operator="between">
      <formula>$W$121</formula>
      <formula>"100%$X$121"</formula>
    </cfRule>
    <cfRule type="cellIs" dxfId="25" priority="14" operator="greaterThan">
      <formula>$W$121</formula>
    </cfRule>
  </conditionalFormatting>
  <conditionalFormatting sqref="O122">
    <cfRule type="cellIs" dxfId="24" priority="11" operator="greaterThan">
      <formula>$X$122</formula>
    </cfRule>
    <cfRule type="cellIs" dxfId="23" priority="34" operator="between">
      <formula>$W$122</formula>
      <formula>$X$122</formula>
    </cfRule>
  </conditionalFormatting>
  <conditionalFormatting sqref="O123">
    <cfRule type="cellIs" dxfId="22" priority="33" operator="between">
      <formula>$W$123</formula>
      <formula>$X$123</formula>
    </cfRule>
    <cfRule type="cellIs" dxfId="21" priority="10" operator="greaterThan">
      <formula>$X$123</formula>
    </cfRule>
  </conditionalFormatting>
  <conditionalFormatting sqref="O124">
    <cfRule type="cellIs" dxfId="20" priority="9" operator="greaterThan">
      <formula>$X$124</formula>
    </cfRule>
    <cfRule type="cellIs" dxfId="19" priority="32" operator="between">
      <formula>$W$124</formula>
      <formula>$X$124</formula>
    </cfRule>
  </conditionalFormatting>
  <conditionalFormatting sqref="O125">
    <cfRule type="cellIs" dxfId="18" priority="8" operator="greaterThan">
      <formula>$X$125</formula>
    </cfRule>
    <cfRule type="cellIs" dxfId="17" priority="31" operator="between">
      <formula>$W$125</formula>
      <formula>$X$125</formula>
    </cfRule>
  </conditionalFormatting>
  <conditionalFormatting sqref="O126">
    <cfRule type="cellIs" dxfId="16" priority="7" operator="greaterThan">
      <formula>$X$126</formula>
    </cfRule>
    <cfRule type="cellIs" dxfId="15" priority="30" operator="between">
      <formula>$W$126</formula>
      <formula>$X$126</formula>
    </cfRule>
  </conditionalFormatting>
  <conditionalFormatting sqref="O127">
    <cfRule type="cellIs" dxfId="14" priority="6" operator="greaterThan">
      <formula>$X$127</formula>
    </cfRule>
    <cfRule type="cellIs" dxfId="13" priority="29" operator="between">
      <formula>$W$127</formula>
      <formula>$X$127</formula>
    </cfRule>
  </conditionalFormatting>
  <conditionalFormatting sqref="O128">
    <cfRule type="cellIs" dxfId="12" priority="28" operator="between">
      <formula>$W$128</formula>
      <formula>$X$128</formula>
    </cfRule>
    <cfRule type="cellIs" dxfId="11" priority="5" operator="greaterThan">
      <formula>$X$128</formula>
    </cfRule>
  </conditionalFormatting>
  <conditionalFormatting sqref="O129">
    <cfRule type="cellIs" dxfId="10" priority="27" operator="between">
      <formula>$W$129</formula>
      <formula>$X$129</formula>
    </cfRule>
    <cfRule type="cellIs" dxfId="9" priority="4" operator="greaterThan">
      <formula>$X$129</formula>
    </cfRule>
  </conditionalFormatting>
  <conditionalFormatting sqref="O130">
    <cfRule type="cellIs" dxfId="8" priority="26" operator="between">
      <formula>$W$130</formula>
      <formula>$X$130</formula>
    </cfRule>
    <cfRule type="cellIs" dxfId="7" priority="3" operator="greaterThan">
      <formula>$X$130</formula>
    </cfRule>
  </conditionalFormatting>
  <conditionalFormatting sqref="O131">
    <cfRule type="cellIs" dxfId="6" priority="25" operator="between">
      <formula>$W$131</formula>
      <formula>$X$131</formula>
    </cfRule>
    <cfRule type="cellIs" dxfId="5" priority="2" operator="greaterThan">
      <formula>$X$131</formula>
    </cfRule>
  </conditionalFormatting>
  <conditionalFormatting sqref="O132">
    <cfRule type="cellIs" dxfId="4" priority="24" operator="between">
      <formula>$W$132</formula>
      <formula>$X$132</formula>
    </cfRule>
    <cfRule type="cellIs" dxfId="3" priority="1" operator="greaterThan">
      <formula>$X$132</formula>
    </cfRule>
  </conditionalFormatting>
  <conditionalFormatting sqref="Q145:Q161">
    <cfRule type="cellIs" dxfId="2" priority="44" operator="between">
      <formula>-0.05</formula>
      <formula>0.05</formula>
    </cfRule>
    <cfRule type="cellIs" dxfId="1" priority="45" operator="lessThan">
      <formula>-0.05</formula>
    </cfRule>
    <cfRule type="cellIs" dxfId="0" priority="46" operator="greaterThan">
      <formula>0.05</formula>
    </cfRule>
  </conditionalFormatting>
  <dataValidations count="15">
    <dataValidation type="list" allowBlank="1" showInputMessage="1" showErrorMessage="1" sqref="U112:V112" xr:uid="{78AD6770-49CE-48FE-8718-6A4DFCE6B613}">
      <formula1>$B$168:$B$182</formula1>
    </dataValidation>
    <dataValidation type="list" allowBlank="1" showInputMessage="1" showErrorMessage="1" sqref="V12:W12" xr:uid="{19F16A32-9709-45B9-BE4E-6BD83A6C7223}">
      <formula1>$A$186:$A$198</formula1>
    </dataValidation>
    <dataValidation type="list" allowBlank="1" showInputMessage="1" showErrorMessage="1" sqref="L4 L2" xr:uid="{6DEEA912-657F-46FC-93F4-D94B4505248D}">
      <formula1>watercementfactor</formula1>
    </dataValidation>
    <dataValidation type="list" allowBlank="1" showInputMessage="1" showErrorMessage="1" sqref="N3:N4" xr:uid="{3366E108-2EA1-4D11-AAF2-873A1CB85BE6}">
      <formula1>betontype</formula1>
    </dataValidation>
    <dataValidation type="list" allowBlank="1" showInputMessage="1" showErrorMessage="1" sqref="H4" xr:uid="{94B3E4D8-E09D-4BC4-94F0-C20E0E64DFC3}">
      <formula1>Dmax</formula1>
    </dataValidation>
    <dataValidation type="list" allowBlank="1" showInputMessage="1" showErrorMessage="1" sqref="H3" xr:uid="{54C82358-13CA-484A-8F1A-A8D5796D2145}">
      <formula1>consistentie</formula1>
    </dataValidation>
    <dataValidation type="list" allowBlank="1" showInputMessage="1" showErrorMessage="1" sqref="E4" xr:uid="{6703784B-AD07-4ACC-98E2-A8E1D31EC4AC}">
      <formula1>milieuklasse</formula1>
    </dataValidation>
    <dataValidation type="list" allowBlank="1" showInputMessage="1" showErrorMessage="1" sqref="E3" xr:uid="{04ADA137-C84E-4962-B27B-A76B76903B24}">
      <formula1>omgevingsklasse</formula1>
    </dataValidation>
    <dataValidation type="list" allowBlank="1" showInputMessage="1" showErrorMessage="1" sqref="B4" xr:uid="{306F8A8E-E770-4431-9713-BB3EA55EC01A}">
      <formula1>duurzaamheid</formula1>
    </dataValidation>
    <dataValidation type="list" allowBlank="1" showInputMessage="1" showErrorMessage="1" sqref="B3" xr:uid="{04FA8458-FAD4-4530-BD45-5D128F89E8C5}">
      <formula1>sterkteklasse</formula1>
    </dataValidation>
    <dataValidation type="list" allowBlank="1" showInputMessage="1" showErrorMessage="1" sqref="A31:A32" xr:uid="{91E1D4FE-F212-4C6C-B057-4F121A9B1861}">
      <formula1>andere</formula1>
    </dataValidation>
    <dataValidation type="list" allowBlank="1" showInputMessage="1" showErrorMessage="1" sqref="A27:A29" xr:uid="{B3A774E1-6096-4A7F-83E7-7C192EB16F9B}">
      <formula1>hulpstof</formula1>
    </dataValidation>
    <dataValidation type="list" allowBlank="1" showInputMessage="1" showErrorMessage="1" sqref="A23:A25 A19:A21" xr:uid="{62DBC698-A849-4062-A269-D2688145C22E}">
      <formula1>granulaat</formula1>
    </dataValidation>
    <dataValidation type="list" allowBlank="1" showInputMessage="1" showErrorMessage="1" sqref="A15:A17" xr:uid="{4FC0562E-68EB-438F-BF9E-C6247369A11C}">
      <formula1>vulstof</formula1>
    </dataValidation>
    <dataValidation type="list" allowBlank="1" showInputMessage="1" showErrorMessage="1" sqref="A11:A13" xr:uid="{1E01020D-CD80-4B73-A800-E1B686802AFF}">
      <formula1>cement</formula1>
    </dataValidation>
  </dataValidations>
  <printOptions horizontalCentered="1"/>
  <pageMargins left="0" right="0" top="0.39370078740157483" bottom="0.39370078740157483" header="0.19685039370078741" footer="0.19685039370078741"/>
  <pageSetup paperSize="9" scale="62" orientation="landscape" r:id="rId1"/>
  <headerFooter alignWithMargins="0">
    <oddFooter>&amp;L&amp;"Arial,Standaard"&amp;8Proceseigenaar: Hoofd Kwaliteit - Laborant&amp;C&amp;"Arial,Standaard"&amp;8datum: 01/04/2019 - versie: 1.0 - &amp;P&amp;R&amp;"Arial,Standaard"&amp;8Code: BM.120.F2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27900-BA84-4A36-B1E0-195BDE0BA20F}">
  <sheetPr codeName="Blad529">
    <tabColor rgb="FF00B0F0"/>
  </sheetPr>
  <dimension ref="B1:N16"/>
  <sheetViews>
    <sheetView workbookViewId="0">
      <selection activeCell="E31" sqref="E31"/>
    </sheetView>
  </sheetViews>
  <sheetFormatPr defaultRowHeight="14.5" x14ac:dyDescent="0.35"/>
  <cols>
    <col min="1" max="1" width="8.7265625" style="214"/>
    <col min="2" max="2" width="11.1796875" style="214" bestFit="1" customWidth="1"/>
    <col min="3" max="3" width="8.7265625" style="214"/>
    <col min="4" max="4" width="24.81640625" style="214" customWidth="1"/>
    <col min="5" max="5" width="17.81640625" style="214" customWidth="1"/>
    <col min="6" max="6" width="10.453125" style="214" customWidth="1"/>
    <col min="7" max="16384" width="8.7265625" style="214"/>
  </cols>
  <sheetData>
    <row r="1" spans="2:14" ht="15" thickBot="1" x14ac:dyDescent="0.4">
      <c r="B1" s="215"/>
      <c r="C1" s="215"/>
      <c r="D1" s="215"/>
      <c r="E1" s="219"/>
      <c r="F1" s="215"/>
    </row>
    <row r="2" spans="2:14" ht="15.5" customHeight="1" thickBot="1" x14ac:dyDescent="0.4">
      <c r="B2" s="222" t="s">
        <v>6</v>
      </c>
      <c r="C2" s="223" t="s">
        <v>7</v>
      </c>
      <c r="D2" s="223" t="s">
        <v>8</v>
      </c>
      <c r="E2" s="223" t="s">
        <v>9</v>
      </c>
      <c r="F2" s="224" t="s">
        <v>10</v>
      </c>
      <c r="G2" s="218"/>
      <c r="N2" s="214" t="s">
        <v>196</v>
      </c>
    </row>
    <row r="3" spans="2:14" x14ac:dyDescent="0.35">
      <c r="B3" s="225">
        <f>'1'!B2</f>
        <v>44927</v>
      </c>
      <c r="C3" s="226">
        <f>'1'!E2</f>
        <v>1</v>
      </c>
      <c r="D3" s="226">
        <f>'1'!L2</f>
        <v>10</v>
      </c>
      <c r="E3" s="227">
        <f>'1'!L2</f>
        <v>10</v>
      </c>
      <c r="F3" s="228" t="str">
        <f>'1'!N2</f>
        <v>X</v>
      </c>
    </row>
    <row r="4" spans="2:14" x14ac:dyDescent="0.35">
      <c r="B4" s="216"/>
      <c r="C4" s="216"/>
      <c r="D4" s="216"/>
      <c r="E4" s="220"/>
      <c r="F4" s="216"/>
    </row>
    <row r="5" spans="2:14" x14ac:dyDescent="0.35">
      <c r="B5" s="216"/>
      <c r="C5" s="216"/>
      <c r="D5" s="216"/>
      <c r="E5" s="220"/>
      <c r="F5" s="216"/>
    </row>
    <row r="6" spans="2:14" x14ac:dyDescent="0.35">
      <c r="B6" s="216"/>
      <c r="C6" s="216"/>
      <c r="D6" s="216"/>
      <c r="E6" s="220"/>
      <c r="F6" s="216"/>
    </row>
    <row r="7" spans="2:14" x14ac:dyDescent="0.35">
      <c r="B7" s="216"/>
      <c r="C7" s="216"/>
      <c r="D7" s="216"/>
      <c r="E7" s="220"/>
      <c r="F7" s="216"/>
    </row>
    <row r="8" spans="2:14" x14ac:dyDescent="0.35">
      <c r="B8" s="216"/>
      <c r="C8" s="216"/>
      <c r="D8" s="216"/>
      <c r="E8" s="220"/>
      <c r="F8" s="216"/>
    </row>
    <row r="9" spans="2:14" x14ac:dyDescent="0.35">
      <c r="B9" s="216"/>
      <c r="C9" s="216"/>
      <c r="D9" s="216"/>
      <c r="E9" s="220"/>
      <c r="F9" s="216"/>
    </row>
    <row r="10" spans="2:14" x14ac:dyDescent="0.35">
      <c r="B10" s="216"/>
      <c r="C10" s="216"/>
      <c r="D10" s="216"/>
      <c r="E10" s="220"/>
      <c r="F10" s="216"/>
    </row>
    <row r="11" spans="2:14" x14ac:dyDescent="0.35">
      <c r="B11" s="216"/>
      <c r="C11" s="216"/>
      <c r="D11" s="216"/>
      <c r="E11" s="220"/>
      <c r="F11" s="216"/>
    </row>
    <row r="12" spans="2:14" x14ac:dyDescent="0.35">
      <c r="B12" s="216"/>
      <c r="C12" s="216"/>
      <c r="D12" s="216"/>
      <c r="E12" s="220"/>
      <c r="F12" s="216"/>
    </row>
    <row r="13" spans="2:14" x14ac:dyDescent="0.35">
      <c r="B13" s="216"/>
      <c r="C13" s="216"/>
      <c r="D13" s="216"/>
      <c r="E13" s="220"/>
      <c r="F13" s="216"/>
    </row>
    <row r="14" spans="2:14" x14ac:dyDescent="0.35">
      <c r="B14" s="216"/>
      <c r="C14" s="216"/>
      <c r="D14" s="216"/>
      <c r="E14" s="220"/>
      <c r="F14" s="216"/>
    </row>
    <row r="15" spans="2:14" x14ac:dyDescent="0.35">
      <c r="B15" s="216"/>
      <c r="C15" s="216"/>
      <c r="D15" s="216"/>
      <c r="E15" s="220"/>
      <c r="F15" s="216"/>
    </row>
    <row r="16" spans="2:14" ht="15" thickBot="1" x14ac:dyDescent="0.4">
      <c r="B16" s="217"/>
      <c r="C16" s="217"/>
      <c r="D16" s="217"/>
      <c r="E16" s="221"/>
      <c r="F16" s="21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505CE-449C-41A1-997D-BFCD7CCA6DED}">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1</vt:lpstr>
      <vt:lpstr>Blad1 (2)</vt:lpstr>
      <vt:lpstr>Blad1</vt:lpstr>
      <vt:lpstr>'1'!Afdrukbereik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Steelandt</dc:creator>
  <cp:lastModifiedBy>Steven Steelandt</cp:lastModifiedBy>
  <dcterms:created xsi:type="dcterms:W3CDTF">2023-06-13T08:15:16Z</dcterms:created>
  <dcterms:modified xsi:type="dcterms:W3CDTF">2023-06-13T08:27:43Z</dcterms:modified>
</cp:coreProperties>
</file>